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1D360PROD2\360users\work\resurssi\za044030\"/>
    </mc:Choice>
  </mc:AlternateContent>
  <bookViews>
    <workbookView xWindow="0" yWindow="0" windowWidth="28800" windowHeight="13500"/>
  </bookViews>
  <sheets>
    <sheet name="Raportti" sheetId="4" r:id="rId1"/>
    <sheet name="MARA" sheetId="3" state="hidden" r:id="rId2"/>
  </sheets>
  <definedNames>
    <definedName name="ACCCODE1">#REF!</definedName>
    <definedName name="ACCCODE3" localSheetId="1">#REF!</definedName>
    <definedName name="MARA">MARA!$A$3:$A$10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4" l="1"/>
  <c r="J33" i="4"/>
  <c r="A26" i="4"/>
  <c r="BD26" i="4"/>
  <c r="BE26" i="4"/>
  <c r="D33" i="4"/>
  <c r="L33" i="4" s="1"/>
  <c r="E33" i="4"/>
  <c r="C31" i="4"/>
  <c r="G31" i="4"/>
  <c r="P25" i="4"/>
  <c r="Y16" i="4"/>
  <c r="Y25" i="4" l="1"/>
  <c r="V25" i="4"/>
  <c r="U25" i="4"/>
  <c r="T25" i="4"/>
  <c r="S25" i="4"/>
  <c r="Q25" i="4"/>
  <c r="N25" i="4"/>
  <c r="M25" i="4"/>
  <c r="L25" i="4"/>
  <c r="AB25" i="4"/>
  <c r="AA25" i="4"/>
  <c r="W25" i="4"/>
  <c r="X25" i="4"/>
  <c r="Z25" i="4"/>
  <c r="AT16" i="4"/>
  <c r="AS16" i="4"/>
  <c r="AR16" i="4"/>
  <c r="S16" i="4"/>
  <c r="R16" i="4"/>
  <c r="Q16" i="4"/>
  <c r="N16" i="4"/>
  <c r="BF16" i="4" l="1"/>
  <c r="BD16" i="4"/>
  <c r="BC16" i="4"/>
  <c r="BB16" i="4"/>
  <c r="BA16" i="4"/>
  <c r="AX16" i="4"/>
  <c r="AN16" i="4"/>
  <c r="AK16" i="4"/>
  <c r="AJ16" i="4"/>
  <c r="AI16" i="4"/>
  <c r="AF16" i="4"/>
  <c r="AB16" i="4"/>
  <c r="AA16" i="4"/>
  <c r="Z16" i="4"/>
  <c r="W16" i="4"/>
  <c r="BG16" i="4"/>
  <c r="BE16" i="4"/>
  <c r="AW16" i="4"/>
  <c r="AO16" i="4"/>
  <c r="AE16" i="4"/>
  <c r="V16" i="4" l="1"/>
  <c r="D31" i="4" l="1"/>
  <c r="R25" i="4"/>
  <c r="O25" i="4"/>
  <c r="M16" i="4"/>
  <c r="F52" i="4" l="1"/>
  <c r="D56" i="4"/>
  <c r="C56" i="4"/>
  <c r="B55" i="4"/>
  <c r="D50" i="4"/>
  <c r="E50" i="4" s="1"/>
  <c r="K49" i="4"/>
  <c r="J49" i="4"/>
  <c r="I49" i="4"/>
  <c r="D47" i="4"/>
  <c r="E47" i="4" s="1"/>
  <c r="F47" i="4" s="1"/>
  <c r="G47" i="4" s="1"/>
  <c r="H47" i="4" s="1"/>
  <c r="I46" i="4"/>
  <c r="E45" i="4"/>
  <c r="F45" i="4" s="1"/>
  <c r="G45" i="4" s="1"/>
  <c r="H45" i="4" s="1"/>
  <c r="D45" i="4"/>
  <c r="F43" i="4"/>
  <c r="G43" i="4" s="1"/>
  <c r="H43" i="4" s="1"/>
  <c r="E43" i="4"/>
  <c r="D43" i="4"/>
  <c r="C42" i="4"/>
  <c r="D42" i="4" s="1"/>
  <c r="E42" i="4" s="1"/>
  <c r="F42" i="4" s="1"/>
  <c r="G42" i="4" s="1"/>
  <c r="H42" i="4" s="1"/>
  <c r="B42" i="4"/>
  <c r="E40" i="4"/>
  <c r="F40" i="4" s="1"/>
  <c r="G40" i="4" s="1"/>
  <c r="H40" i="4" s="1"/>
  <c r="D39" i="4"/>
  <c r="E39" i="4" s="1"/>
  <c r="F39" i="4" s="1"/>
  <c r="G39" i="4" s="1"/>
  <c r="H39" i="4" s="1"/>
  <c r="E38" i="4"/>
  <c r="F38" i="4" s="1"/>
  <c r="G38" i="4" s="1"/>
  <c r="H38" i="4" s="1"/>
  <c r="D38" i="4"/>
  <c r="F37" i="4"/>
  <c r="G37" i="4" s="1"/>
  <c r="H37" i="4" s="1"/>
  <c r="E37" i="4"/>
  <c r="D37" i="4"/>
  <c r="D36" i="4"/>
  <c r="E36" i="4" s="1"/>
  <c r="D35" i="4"/>
  <c r="C35" i="4"/>
  <c r="C55" i="4" s="1"/>
  <c r="B35" i="4"/>
  <c r="B33" i="4"/>
  <c r="B52" i="4" s="1"/>
  <c r="F32" i="4"/>
  <c r="G32" i="4" s="1"/>
  <c r="H32" i="4" s="1"/>
  <c r="E32" i="4"/>
  <c r="D32" i="4"/>
  <c r="H31" i="4"/>
  <c r="H33" i="4" s="1"/>
  <c r="G33" i="4"/>
  <c r="F31" i="4"/>
  <c r="F33" i="4" s="1"/>
  <c r="E31" i="4"/>
  <c r="J31" i="4"/>
  <c r="K31" i="4" l="1"/>
  <c r="E54" i="4"/>
  <c r="F36" i="4"/>
  <c r="E35" i="4"/>
  <c r="E55" i="4" s="1"/>
  <c r="I43" i="4"/>
  <c r="L43" i="4"/>
  <c r="K43" i="4"/>
  <c r="J43" i="4"/>
  <c r="J42" i="4"/>
  <c r="I42" i="4"/>
  <c r="L42" i="4"/>
  <c r="K42" i="4"/>
  <c r="G54" i="4"/>
  <c r="L45" i="4"/>
  <c r="K45" i="4"/>
  <c r="I45" i="4"/>
  <c r="J45" i="4"/>
  <c r="J47" i="4"/>
  <c r="K47" i="4"/>
  <c r="I47" i="4"/>
  <c r="L47" i="4"/>
  <c r="F50" i="4"/>
  <c r="E56" i="4"/>
  <c r="F54" i="4"/>
  <c r="L38" i="4"/>
  <c r="K38" i="4"/>
  <c r="I38" i="4"/>
  <c r="J38" i="4"/>
  <c r="K39" i="4"/>
  <c r="L39" i="4"/>
  <c r="J39" i="4"/>
  <c r="I39" i="4"/>
  <c r="D54" i="4"/>
  <c r="D57" i="4" s="1"/>
  <c r="D52" i="4"/>
  <c r="H54" i="4"/>
  <c r="I33" i="4"/>
  <c r="I32" i="4"/>
  <c r="L32" i="4"/>
  <c r="J32" i="4"/>
  <c r="K32" i="4"/>
  <c r="D55" i="4"/>
  <c r="I37" i="4"/>
  <c r="L37" i="4"/>
  <c r="J37" i="4"/>
  <c r="K37" i="4"/>
  <c r="K40" i="4"/>
  <c r="I40" i="4"/>
  <c r="L31" i="4"/>
  <c r="B54" i="4"/>
  <c r="B57" i="4" s="1"/>
  <c r="I31" i="4"/>
  <c r="C33" i="4"/>
  <c r="C4" i="3"/>
  <c r="A4" i="3" s="1"/>
  <c r="J3" i="3"/>
  <c r="I3" i="3"/>
  <c r="F3" i="3"/>
  <c r="E3" i="3"/>
  <c r="D3" i="3"/>
  <c r="C3" i="3"/>
  <c r="B3" i="3"/>
  <c r="A3" i="3"/>
  <c r="G36" i="4" l="1"/>
  <c r="F35" i="4"/>
  <c r="E57" i="4"/>
  <c r="F56" i="4"/>
  <c r="G50" i="4"/>
  <c r="C52" i="4"/>
  <c r="C54" i="4"/>
  <c r="C57" i="4" s="1"/>
  <c r="L54" i="4"/>
  <c r="I54" i="4"/>
  <c r="K54" i="4"/>
  <c r="J54" i="4"/>
  <c r="E52" i="4"/>
  <c r="G56" i="4" l="1"/>
  <c r="H50" i="4"/>
  <c r="F55" i="4"/>
  <c r="F57" i="4" s="1"/>
  <c r="G35" i="4"/>
  <c r="H36" i="4"/>
  <c r="J36" i="4" l="1"/>
  <c r="I36" i="4"/>
  <c r="K36" i="4"/>
  <c r="L36" i="4"/>
  <c r="H35" i="4"/>
  <c r="J50" i="4"/>
  <c r="K50" i="4"/>
  <c r="I50" i="4"/>
  <c r="L50" i="4"/>
  <c r="H56" i="4"/>
  <c r="G55" i="4"/>
  <c r="G57" i="4" s="1"/>
  <c r="G52" i="4"/>
  <c r="K56" i="4" l="1"/>
  <c r="J56" i="4"/>
  <c r="L56" i="4"/>
  <c r="I56" i="4"/>
  <c r="K35" i="4"/>
  <c r="H55" i="4"/>
  <c r="J35" i="4"/>
  <c r="L35" i="4"/>
  <c r="I35" i="4"/>
  <c r="H52" i="4"/>
  <c r="K52" i="4" l="1"/>
  <c r="J52" i="4"/>
  <c r="I52" i="4"/>
  <c r="L52" i="4"/>
  <c r="I55" i="4"/>
  <c r="L55" i="4"/>
  <c r="K55" i="4"/>
  <c r="J55" i="4"/>
  <c r="H57" i="4"/>
  <c r="L57" i="4" l="1"/>
  <c r="K57" i="4"/>
  <c r="J57" i="4"/>
  <c r="I57" i="4"/>
</calcChain>
</file>

<file path=xl/sharedStrings.xml><?xml version="1.0" encoding="utf-8"?>
<sst xmlns="http://schemas.openxmlformats.org/spreadsheetml/2006/main" count="131" uniqueCount="79">
  <si>
    <t>2021</t>
  </si>
  <si>
    <t>KEHYS 2020</t>
  </si>
  <si>
    <t>KEHYS 2021</t>
  </si>
  <si>
    <t>Haagan seurakunta</t>
  </si>
  <si>
    <t>BWNonAllocatedItem</t>
  </si>
  <si>
    <t>Herttoniemen seurakunta</t>
  </si>
  <si>
    <t>Kallion seurakunta</t>
  </si>
  <si>
    <t>Kannelmäen seurakunta</t>
  </si>
  <si>
    <t>Lauttasaaren seurakunta</t>
  </si>
  <si>
    <t>Mikaelin seurakunta</t>
  </si>
  <si>
    <t>Munkkiniemen seurakunta</t>
  </si>
  <si>
    <t>Oulunkylän seurakunta</t>
  </si>
  <si>
    <t>Paavalin seurakunta</t>
  </si>
  <si>
    <t>Pakilan seurakunta</t>
  </si>
  <si>
    <t>Pitäjänmäen seurakunta</t>
  </si>
  <si>
    <t>Roihuvuoren seurakunta</t>
  </si>
  <si>
    <t>Tuomiokirkkoseurakunta</t>
  </si>
  <si>
    <t>Töölön seurakunta</t>
  </si>
  <si>
    <t>Vartiokylän seurakunta</t>
  </si>
  <si>
    <t>Vuosaaren seurakunta</t>
  </si>
  <si>
    <t>Johannes församling</t>
  </si>
  <si>
    <t>Matteus församling</t>
  </si>
  <si>
    <t>Petrus församling</t>
  </si>
  <si>
    <t>KEHYS3</t>
  </si>
  <si>
    <t>299</t>
  </si>
  <si>
    <t>Kehys määräraha yhteensä</t>
  </si>
  <si>
    <t>KEHYS1</t>
  </si>
  <si>
    <t>Diakoniaprojektit</t>
  </si>
  <si>
    <t>YHTEENSÄ</t>
  </si>
  <si>
    <t>200 Seurakunnallinen toiminta</t>
  </si>
  <si>
    <t>SRK kehymäärärahan käyttö</t>
  </si>
  <si>
    <t>BWNonAllocatedItem BWNonAllocatedItem</t>
  </si>
  <si>
    <t>Toimintamääräraha</t>
  </si>
  <si>
    <t>Tilamääräraha jaettava</t>
  </si>
  <si>
    <t>SEURAKUNTIEN MÄÄRÄRAHAT YHTEENSÄ JA VERTAILU ED. VUOTEEN</t>
  </si>
  <si>
    <t xml:space="preserve">Toimintaraha </t>
  </si>
  <si>
    <t xml:space="preserve">Sop. MR </t>
  </si>
  <si>
    <t>TMR Yhteensä</t>
  </si>
  <si>
    <t>Muutos ed. 
vuodesta</t>
  </si>
  <si>
    <t xml:space="preserve">Tilaraha </t>
  </si>
  <si>
    <t>Kehys yht.</t>
  </si>
  <si>
    <t>Muutos yht.
ed. vuodesta</t>
  </si>
  <si>
    <t>Säästöt</t>
  </si>
  <si>
    <t>Toimintaraha</t>
  </si>
  <si>
    <t xml:space="preserve">Lisä MR </t>
  </si>
  <si>
    <t xml:space="preserve">TMR Yhteensä </t>
  </si>
  <si>
    <t>Tilaraha</t>
  </si>
  <si>
    <t>Muutos ed.
vuodesta</t>
  </si>
  <si>
    <t xml:space="preserve">Muutos v.2020-2025
sis. 2020 sop.mr. </t>
  </si>
  <si>
    <t>%-muutos</t>
  </si>
  <si>
    <t>Muutos v.2021-2025</t>
  </si>
  <si>
    <t>Malmin seurakunta</t>
  </si>
  <si>
    <t>Yhteensä</t>
  </si>
  <si>
    <t>Toimintamääräraha vuodesta 2021 -1,5%, tilamr ei muutosta v. 2022 alk.</t>
  </si>
  <si>
    <t>TP 2019</t>
  </si>
  <si>
    <t>KEH 2020</t>
  </si>
  <si>
    <t xml:space="preserve"> KEH 2021</t>
  </si>
  <si>
    <t>Muutos
2020-2025</t>
  </si>
  <si>
    <t>Muutos 
2021-2025</t>
  </si>
  <si>
    <t>Seurakuntien määrärahat</t>
  </si>
  <si>
    <t>Diakoniamääräraha</t>
  </si>
  <si>
    <t>Seurakunnallinen toiminta yht.</t>
  </si>
  <si>
    <t>Yhteiset seurakunnalliset tehtävät</t>
  </si>
  <si>
    <t xml:space="preserve">Yhteinen srk-työ </t>
  </si>
  <si>
    <t>Viestintä</t>
  </si>
  <si>
    <t>Mediatoimitus</t>
  </si>
  <si>
    <t>Avustukset ja varaukset</t>
  </si>
  <si>
    <t>Lehtisaari</t>
  </si>
  <si>
    <t>Yhteinen hallinto ilman ao.</t>
  </si>
  <si>
    <t>Työterveys ja - ruokailu</t>
  </si>
  <si>
    <t>Hautaustoimi</t>
  </si>
  <si>
    <t>Kiinteistötoimi</t>
  </si>
  <si>
    <t>Kehittämismääräraha</t>
  </si>
  <si>
    <t>Suorituslisä</t>
  </si>
  <si>
    <t>HSRKY Yhteensä</t>
  </si>
  <si>
    <t>Seurakunnat</t>
  </si>
  <si>
    <t>Yhteiset palvelut</t>
  </si>
  <si>
    <t>Muutos yht. 
ed. vuodesta</t>
  </si>
  <si>
    <t>Ilman sop. mr 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</si>
</sst>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%;\-#,##0.0%"/>
    <numFmt numFmtId="165" formatCode="0.0\ %"/>
    <numFmt numFmtId="166" formatCode="0.000\ %"/>
  </numFmts>
  <fonts count="33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0"/>
      <name val="Calibri"/>
      <family val="2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b/>
      <sz val="9"/>
      <name val="Arial"/>
      <family val="2"/>
    </font>
    <font>
      <b/>
      <u/>
      <sz val="9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top"/>
      <protection locked="0"/>
    </xf>
    <xf numFmtId="0" fontId="1" fillId="0" borderId="0">
      <alignment vertical="top"/>
      <protection locked="0"/>
    </xf>
    <xf numFmtId="9" fontId="1" fillId="0" borderId="0" applyFont="0" applyFill="0" applyBorder="0" applyAlignment="0" applyProtection="0"/>
  </cellStyleXfs>
  <cellXfs count="13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/>
    <xf numFmtId="0" fontId="5" fillId="0" borderId="0" xfId="1" applyFont="1" applyFill="1" applyBorder="1" applyAlignment="1" applyProtection="1"/>
    <xf numFmtId="0" fontId="6" fillId="3" borderId="0" xfId="1" applyFont="1" applyFill="1" applyBorder="1" applyAlignment="1" applyProtection="1"/>
    <xf numFmtId="0" fontId="7" fillId="2" borderId="0" xfId="1" applyFont="1" applyFill="1" applyBorder="1" applyAlignment="1" applyProtection="1">
      <alignment horizontal="left"/>
    </xf>
    <xf numFmtId="0" fontId="8" fillId="3" borderId="0" xfId="1" applyFont="1" applyFill="1" applyBorder="1" applyAlignment="1" applyProtection="1">
      <alignment horizontal="left"/>
    </xf>
    <xf numFmtId="3" fontId="9" fillId="2" borderId="0" xfId="1" applyNumberFormat="1" applyFont="1" applyFill="1" applyBorder="1" applyAlignment="1" applyProtection="1">
      <alignment horizontal="right"/>
    </xf>
    <xf numFmtId="3" fontId="10" fillId="2" borderId="0" xfId="1" applyNumberFormat="1" applyFont="1" applyFill="1" applyBorder="1" applyAlignment="1" applyProtection="1">
      <alignment horizontal="left"/>
    </xf>
    <xf numFmtId="3" fontId="12" fillId="2" borderId="0" xfId="1" applyNumberFormat="1" applyFont="1" applyFill="1" applyBorder="1" applyAlignment="1" applyProtection="1">
      <alignment horizontal="right"/>
    </xf>
    <xf numFmtId="3" fontId="13" fillId="2" borderId="0" xfId="1" applyNumberFormat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/>
    <xf numFmtId="3" fontId="15" fillId="3" borderId="0" xfId="1" applyNumberFormat="1" applyFont="1" applyFill="1" applyBorder="1" applyAlignment="1" applyProtection="1">
      <alignment horizontal="right"/>
    </xf>
    <xf numFmtId="3" fontId="16" fillId="3" borderId="0" xfId="1" applyNumberFormat="1" applyFont="1" applyFill="1" applyBorder="1" applyAlignment="1" applyProtection="1">
      <alignment horizontal="right"/>
    </xf>
    <xf numFmtId="0" fontId="17" fillId="0" borderId="1" xfId="1" applyFont="1" applyFill="1" applyBorder="1" applyAlignment="1" applyProtection="1">
      <protection locked="0"/>
    </xf>
    <xf numFmtId="164" fontId="18" fillId="2" borderId="0" xfId="1" applyNumberFormat="1" applyFont="1" applyFill="1" applyBorder="1" applyAlignment="1" applyProtection="1">
      <alignment horizontal="right"/>
    </xf>
    <xf numFmtId="0" fontId="19" fillId="0" borderId="1" xfId="1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alignment vertical="top"/>
      <protection locked="0"/>
    </xf>
    <xf numFmtId="0" fontId="22" fillId="4" borderId="3" xfId="0" applyFont="1" applyFill="1" applyBorder="1" applyAlignment="1" applyProtection="1">
      <alignment vertical="top"/>
      <protection locked="0"/>
    </xf>
    <xf numFmtId="0" fontId="21" fillId="4" borderId="3" xfId="0" applyFont="1" applyFill="1" applyBorder="1" applyAlignment="1" applyProtection="1">
      <alignment vertical="top"/>
      <protection locked="0"/>
    </xf>
    <xf numFmtId="0" fontId="22" fillId="5" borderId="3" xfId="0" applyFont="1" applyFill="1" applyBorder="1" applyAlignment="1" applyProtection="1">
      <alignment vertical="top"/>
      <protection locked="0"/>
    </xf>
    <xf numFmtId="0" fontId="22" fillId="6" borderId="3" xfId="0" applyFont="1" applyFill="1" applyBorder="1" applyAlignment="1" applyProtection="1">
      <alignment vertical="top"/>
      <protection locked="0"/>
    </xf>
    <xf numFmtId="0" fontId="22" fillId="6" borderId="4" xfId="0" applyFont="1" applyFill="1" applyBorder="1" applyAlignment="1" applyProtection="1">
      <alignment vertical="top"/>
      <protection locked="0"/>
    </xf>
    <xf numFmtId="0" fontId="22" fillId="0" borderId="3" xfId="0" applyFont="1" applyFill="1" applyBorder="1" applyAlignment="1" applyProtection="1">
      <alignment vertical="top"/>
      <protection locked="0"/>
    </xf>
    <xf numFmtId="0" fontId="22" fillId="4" borderId="2" xfId="0" applyFont="1" applyFill="1" applyBorder="1" applyAlignment="1" applyProtection="1">
      <alignment vertical="top"/>
      <protection locked="0"/>
    </xf>
    <xf numFmtId="0" fontId="22" fillId="0" borderId="2" xfId="0" applyFont="1" applyFill="1" applyBorder="1" applyAlignment="1" applyProtection="1">
      <alignment vertical="top"/>
      <protection locked="0"/>
    </xf>
    <xf numFmtId="0" fontId="22" fillId="0" borderId="4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5" borderId="0" xfId="0" applyFont="1" applyFill="1" applyBorder="1" applyAlignment="1" applyProtection="1">
      <alignment vertical="top"/>
      <protection locked="0"/>
    </xf>
    <xf numFmtId="0" fontId="22" fillId="6" borderId="0" xfId="0" applyFont="1" applyFill="1" applyBorder="1" applyAlignment="1" applyProtection="1">
      <alignment vertical="top"/>
      <protection locked="0"/>
    </xf>
    <xf numFmtId="0" fontId="22" fillId="6" borderId="6" xfId="0" applyFont="1" applyFill="1" applyBorder="1" applyAlignment="1" applyProtection="1">
      <alignment vertical="top"/>
      <protection locked="0"/>
    </xf>
    <xf numFmtId="0" fontId="22" fillId="4" borderId="5" xfId="0" applyFont="1" applyFill="1" applyBorder="1" applyAlignment="1" applyProtection="1">
      <alignment vertical="top"/>
      <protection locked="0"/>
    </xf>
    <xf numFmtId="0" fontId="22" fillId="0" borderId="5" xfId="0" applyFont="1" applyFill="1" applyBorder="1" applyAlignment="1" applyProtection="1">
      <alignment vertical="top"/>
      <protection locked="0"/>
    </xf>
    <xf numFmtId="0" fontId="22" fillId="0" borderId="6" xfId="0" applyFont="1" applyFill="1" applyBorder="1" applyAlignment="1" applyProtection="1">
      <alignment vertical="top"/>
      <protection locked="0"/>
    </xf>
    <xf numFmtId="0" fontId="21" fillId="4" borderId="0" xfId="0" applyFont="1" applyFill="1" applyBorder="1" applyAlignment="1" applyProtection="1">
      <alignment vertical="top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21" fillId="5" borderId="0" xfId="0" applyFont="1" applyFill="1" applyBorder="1" applyAlignment="1" applyProtection="1">
      <alignment vertical="top"/>
      <protection locked="0"/>
    </xf>
    <xf numFmtId="0" fontId="21" fillId="5" borderId="0" xfId="0" applyFont="1" applyFill="1" applyBorder="1" applyAlignment="1" applyProtection="1">
      <alignment vertical="top" wrapText="1"/>
      <protection locked="0"/>
    </xf>
    <xf numFmtId="0" fontId="21" fillId="6" borderId="0" xfId="0" applyFont="1" applyFill="1" applyBorder="1" applyAlignment="1" applyProtection="1">
      <alignment vertical="top"/>
      <protection locked="0"/>
    </xf>
    <xf numFmtId="0" fontId="21" fillId="6" borderId="6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4" borderId="5" xfId="0" applyFont="1" applyFill="1" applyBorder="1" applyAlignment="1" applyProtection="1">
      <alignment vertical="top"/>
      <protection locked="0"/>
    </xf>
    <xf numFmtId="3" fontId="21" fillId="5" borderId="0" xfId="0" applyNumberFormat="1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21" fillId="0" borderId="6" xfId="0" applyFont="1" applyFill="1" applyBorder="1" applyAlignment="1" applyProtection="1">
      <alignment vertical="top"/>
      <protection locked="0"/>
    </xf>
    <xf numFmtId="0" fontId="21" fillId="0" borderId="5" xfId="0" applyFont="1" applyFill="1" applyBorder="1" applyAlignment="1" applyProtection="1">
      <alignment vertical="top"/>
      <protection locked="0"/>
    </xf>
    <xf numFmtId="3" fontId="22" fillId="4" borderId="0" xfId="0" applyNumberFormat="1" applyFont="1" applyFill="1" applyBorder="1" applyAlignment="1" applyProtection="1">
      <alignment vertical="top"/>
      <protection locked="0"/>
    </xf>
    <xf numFmtId="3" fontId="22" fillId="5" borderId="0" xfId="0" applyNumberFormat="1" applyFont="1" applyFill="1" applyBorder="1" applyAlignment="1" applyProtection="1">
      <alignment vertical="top"/>
      <protection locked="0"/>
    </xf>
    <xf numFmtId="3" fontId="22" fillId="6" borderId="0" xfId="0" applyNumberFormat="1" applyFont="1" applyFill="1" applyBorder="1" applyAlignment="1" applyProtection="1">
      <alignment vertical="top"/>
      <protection locked="0"/>
    </xf>
    <xf numFmtId="3" fontId="22" fillId="6" borderId="6" xfId="0" applyNumberFormat="1" applyFont="1" applyFill="1" applyBorder="1" applyAlignment="1" applyProtection="1">
      <alignment vertical="top"/>
      <protection locked="0"/>
    </xf>
    <xf numFmtId="3" fontId="22" fillId="0" borderId="0" xfId="0" applyNumberFormat="1" applyFont="1" applyFill="1" applyBorder="1" applyAlignment="1" applyProtection="1">
      <alignment vertical="top"/>
      <protection locked="0"/>
    </xf>
    <xf numFmtId="3" fontId="22" fillId="4" borderId="5" xfId="0" applyNumberFormat="1" applyFont="1" applyFill="1" applyBorder="1" applyAlignment="1" applyProtection="1">
      <alignment vertical="top"/>
      <protection locked="0"/>
    </xf>
    <xf numFmtId="3" fontId="22" fillId="0" borderId="5" xfId="0" applyNumberFormat="1" applyFont="1" applyFill="1" applyBorder="1" applyAlignment="1" applyProtection="1">
      <alignment vertical="top"/>
      <protection locked="0"/>
    </xf>
    <xf numFmtId="165" fontId="22" fillId="0" borderId="6" xfId="2" applyNumberFormat="1" applyFont="1" applyFill="1" applyBorder="1" applyAlignment="1" applyProtection="1">
      <alignment vertical="top"/>
      <protection locked="0"/>
    </xf>
    <xf numFmtId="3" fontId="20" fillId="0" borderId="0" xfId="0" applyNumberFormat="1" applyFont="1" applyFill="1" applyBorder="1" applyAlignment="1" applyProtection="1">
      <alignment vertical="top"/>
      <protection locked="0"/>
    </xf>
    <xf numFmtId="3" fontId="21" fillId="4" borderId="5" xfId="0" applyNumberFormat="1" applyFont="1" applyFill="1" applyBorder="1" applyAlignment="1" applyProtection="1">
      <alignment vertical="top"/>
      <protection locked="0"/>
    </xf>
    <xf numFmtId="3" fontId="21" fillId="4" borderId="0" xfId="0" applyNumberFormat="1" applyFont="1" applyFill="1" applyBorder="1" applyAlignment="1" applyProtection="1">
      <alignment vertical="top"/>
      <protection locked="0"/>
    </xf>
    <xf numFmtId="0" fontId="22" fillId="9" borderId="0" xfId="0" applyFont="1" applyFill="1" applyBorder="1" applyAlignment="1" applyProtection="1">
      <alignment vertical="top"/>
      <protection locked="0"/>
    </xf>
    <xf numFmtId="0" fontId="21" fillId="0" borderId="5" xfId="0" applyFont="1" applyFill="1" applyBorder="1" applyAlignment="1" applyProtection="1">
      <protection locked="0"/>
    </xf>
    <xf numFmtId="3" fontId="21" fillId="4" borderId="0" xfId="0" applyNumberFormat="1" applyFont="1" applyFill="1" applyBorder="1" applyAlignment="1" applyProtection="1">
      <protection locked="0"/>
    </xf>
    <xf numFmtId="3" fontId="21" fillId="5" borderId="0" xfId="0" applyNumberFormat="1" applyFont="1" applyFill="1" applyBorder="1" applyAlignment="1" applyProtection="1">
      <protection locked="0"/>
    </xf>
    <xf numFmtId="3" fontId="21" fillId="6" borderId="0" xfId="0" applyNumberFormat="1" applyFont="1" applyFill="1" applyBorder="1" applyAlignment="1" applyProtection="1">
      <protection locked="0"/>
    </xf>
    <xf numFmtId="3" fontId="21" fillId="6" borderId="6" xfId="0" applyNumberFormat="1" applyFont="1" applyFill="1" applyBorder="1" applyAlignment="1" applyProtection="1">
      <protection locked="0"/>
    </xf>
    <xf numFmtId="3" fontId="21" fillId="0" borderId="0" xfId="0" applyNumberFormat="1" applyFont="1" applyFill="1" applyBorder="1" applyAlignment="1" applyProtection="1">
      <protection locked="0"/>
    </xf>
    <xf numFmtId="3" fontId="21" fillId="4" borderId="5" xfId="0" applyNumberFormat="1" applyFont="1" applyFill="1" applyBorder="1" applyAlignment="1" applyProtection="1">
      <protection locked="0"/>
    </xf>
    <xf numFmtId="3" fontId="21" fillId="0" borderId="21" xfId="0" applyNumberFormat="1" applyFont="1" applyFill="1" applyBorder="1" applyAlignment="1" applyProtection="1">
      <protection locked="0"/>
    </xf>
    <xf numFmtId="3" fontId="21" fillId="0" borderId="5" xfId="0" applyNumberFormat="1" applyFont="1" applyFill="1" applyBorder="1" applyAlignment="1" applyProtection="1">
      <protection locked="0"/>
    </xf>
    <xf numFmtId="165" fontId="21" fillId="0" borderId="6" xfId="2" applyNumberFormat="1" applyFont="1" applyFill="1" applyBorder="1" applyAlignment="1" applyProtection="1">
      <protection locked="0"/>
    </xf>
    <xf numFmtId="0" fontId="22" fillId="0" borderId="7" xfId="0" applyFont="1" applyFill="1" applyBorder="1" applyAlignment="1" applyProtection="1">
      <alignment vertical="top"/>
      <protection locked="0"/>
    </xf>
    <xf numFmtId="0" fontId="22" fillId="4" borderId="8" xfId="0" applyFont="1" applyFill="1" applyBorder="1" applyAlignment="1" applyProtection="1">
      <alignment vertical="top"/>
      <protection locked="0"/>
    </xf>
    <xf numFmtId="1" fontId="22" fillId="4" borderId="8" xfId="0" applyNumberFormat="1" applyFont="1" applyFill="1" applyBorder="1" applyAlignment="1" applyProtection="1">
      <alignment vertical="top"/>
      <protection locked="0"/>
    </xf>
    <xf numFmtId="0" fontId="22" fillId="5" borderId="8" xfId="0" applyFont="1" applyFill="1" applyBorder="1" applyAlignment="1" applyProtection="1">
      <alignment vertical="top"/>
      <protection locked="0"/>
    </xf>
    <xf numFmtId="0" fontId="22" fillId="6" borderId="8" xfId="0" applyFont="1" applyFill="1" applyBorder="1" applyAlignment="1" applyProtection="1">
      <alignment vertical="top"/>
      <protection locked="0"/>
    </xf>
    <xf numFmtId="0" fontId="22" fillId="6" borderId="9" xfId="0" applyFont="1" applyFill="1" applyBorder="1" applyAlignment="1" applyProtection="1">
      <alignment vertical="top"/>
      <protection locked="0"/>
    </xf>
    <xf numFmtId="0" fontId="22" fillId="0" borderId="8" xfId="0" applyFont="1" applyFill="1" applyBorder="1" applyAlignment="1" applyProtection="1">
      <alignment vertical="top"/>
      <protection locked="0"/>
    </xf>
    <xf numFmtId="0" fontId="22" fillId="4" borderId="7" xfId="0" applyFont="1" applyFill="1" applyBorder="1" applyAlignment="1" applyProtection="1">
      <alignment vertical="top"/>
      <protection locked="0"/>
    </xf>
    <xf numFmtId="2" fontId="22" fillId="5" borderId="8" xfId="0" applyNumberFormat="1" applyFont="1" applyFill="1" applyBorder="1" applyAlignment="1" applyProtection="1">
      <alignment vertical="top"/>
      <protection locked="0"/>
    </xf>
    <xf numFmtId="0" fontId="22" fillId="0" borderId="9" xfId="0" applyFont="1" applyFill="1" applyBorder="1" applyAlignment="1" applyProtection="1">
      <alignment vertical="top"/>
      <protection locked="0"/>
    </xf>
    <xf numFmtId="10" fontId="22" fillId="0" borderId="0" xfId="2" applyNumberFormat="1" applyFont="1" applyFill="1" applyBorder="1" applyAlignment="1" applyProtection="1">
      <alignment vertical="top"/>
      <protection locked="0"/>
    </xf>
    <xf numFmtId="3" fontId="22" fillId="0" borderId="0" xfId="2" applyNumberFormat="1" applyFont="1" applyFill="1" applyBorder="1" applyAlignment="1" applyProtection="1">
      <alignment vertical="top"/>
      <protection locked="0"/>
    </xf>
    <xf numFmtId="0" fontId="22" fillId="7" borderId="10" xfId="0" applyFont="1" applyFill="1" applyBorder="1" applyAlignment="1" applyProtection="1">
      <alignment vertical="top"/>
      <protection locked="0"/>
    </xf>
    <xf numFmtId="0" fontId="21" fillId="7" borderId="11" xfId="0" applyFont="1" applyFill="1" applyBorder="1" applyAlignment="1" applyProtection="1">
      <alignment vertical="top"/>
      <protection locked="0"/>
    </xf>
    <xf numFmtId="0" fontId="21" fillId="7" borderId="11" xfId="0" applyFont="1" applyFill="1" applyBorder="1" applyAlignment="1" applyProtection="1">
      <alignment vertical="top" wrapText="1"/>
      <protection locked="0"/>
    </xf>
    <xf numFmtId="10" fontId="21" fillId="7" borderId="11" xfId="2" applyNumberFormat="1" applyFont="1" applyFill="1" applyBorder="1" applyAlignment="1" applyProtection="1">
      <alignment vertical="top" wrapText="1"/>
      <protection locked="0"/>
    </xf>
    <xf numFmtId="165" fontId="22" fillId="0" borderId="0" xfId="2" applyNumberFormat="1" applyFont="1" applyFill="1" applyBorder="1" applyAlignment="1" applyProtection="1">
      <alignment vertical="top"/>
      <protection locked="0"/>
    </xf>
    <xf numFmtId="166" fontId="22" fillId="0" borderId="0" xfId="2" applyNumberFormat="1" applyFont="1" applyFill="1" applyBorder="1" applyAlignment="1" applyProtection="1">
      <alignment vertical="top"/>
      <protection locked="0"/>
    </xf>
    <xf numFmtId="0" fontId="23" fillId="8" borderId="12" xfId="0" applyFont="1" applyFill="1" applyBorder="1" applyAlignment="1" applyProtection="1">
      <alignment vertical="top"/>
      <protection locked="0"/>
    </xf>
    <xf numFmtId="3" fontId="22" fillId="0" borderId="10" xfId="0" applyNumberFormat="1" applyFont="1" applyFill="1" applyBorder="1" applyAlignment="1" applyProtection="1">
      <alignment vertical="top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22" fillId="0" borderId="12" xfId="0" applyFont="1" applyBorder="1" applyAlignment="1" applyProtection="1"/>
    <xf numFmtId="3" fontId="22" fillId="0" borderId="12" xfId="0" applyNumberFormat="1" applyFont="1" applyFill="1" applyBorder="1" applyAlignment="1" applyProtection="1">
      <alignment vertical="top"/>
      <protection locked="0"/>
    </xf>
    <xf numFmtId="3" fontId="22" fillId="0" borderId="12" xfId="0" applyNumberFormat="1" applyFont="1" applyBorder="1" applyAlignment="1" applyProtection="1"/>
    <xf numFmtId="165" fontId="22" fillId="0" borderId="12" xfId="2" applyNumberFormat="1" applyFont="1" applyFill="1" applyBorder="1" applyAlignment="1" applyProtection="1">
      <alignment vertical="top"/>
      <protection locked="0"/>
    </xf>
    <xf numFmtId="0" fontId="24" fillId="0" borderId="12" xfId="0" applyFont="1" applyBorder="1" applyAlignment="1" applyProtection="1"/>
    <xf numFmtId="3" fontId="21" fillId="0" borderId="12" xfId="0" applyNumberFormat="1" applyFont="1" applyFill="1" applyBorder="1" applyAlignment="1" applyProtection="1">
      <alignment vertical="top"/>
      <protection locked="0"/>
    </xf>
    <xf numFmtId="3" fontId="25" fillId="0" borderId="12" xfId="0" applyNumberFormat="1" applyFont="1" applyBorder="1" applyAlignment="1" applyProtection="1"/>
    <xf numFmtId="0" fontId="26" fillId="0" borderId="12" xfId="0" applyFont="1" applyBorder="1" applyAlignment="1" applyProtection="1"/>
    <xf numFmtId="0" fontId="27" fillId="0" borderId="12" xfId="0" applyFont="1" applyBorder="1" applyAlignment="1" applyProtection="1"/>
    <xf numFmtId="3" fontId="28" fillId="0" borderId="12" xfId="0" applyNumberFormat="1" applyFont="1" applyFill="1" applyBorder="1" applyAlignment="1" applyProtection="1">
      <alignment vertical="top"/>
      <protection locked="0"/>
    </xf>
    <xf numFmtId="0" fontId="29" fillId="0" borderId="12" xfId="0" applyFont="1" applyBorder="1" applyAlignment="1" applyProtection="1"/>
    <xf numFmtId="3" fontId="30" fillId="0" borderId="12" xfId="0" applyNumberFormat="1" applyFont="1" applyFill="1" applyBorder="1" applyAlignment="1" applyProtection="1">
      <alignment vertical="top"/>
      <protection locked="0"/>
    </xf>
    <xf numFmtId="3" fontId="31" fillId="0" borderId="12" xfId="0" applyNumberFormat="1" applyFont="1" applyFill="1" applyBorder="1" applyAlignment="1" applyProtection="1">
      <alignment vertical="top"/>
      <protection locked="0"/>
    </xf>
    <xf numFmtId="0" fontId="22" fillId="0" borderId="13" xfId="0" applyFont="1" applyBorder="1" applyAlignment="1" applyProtection="1"/>
    <xf numFmtId="3" fontId="22" fillId="0" borderId="13" xfId="0" applyNumberFormat="1" applyFont="1" applyFill="1" applyBorder="1" applyAlignment="1" applyProtection="1">
      <alignment vertical="top"/>
      <protection locked="0"/>
    </xf>
    <xf numFmtId="165" fontId="22" fillId="0" borderId="13" xfId="2" applyNumberFormat="1" applyFont="1" applyFill="1" applyBorder="1" applyAlignment="1" applyProtection="1">
      <alignment vertical="top"/>
      <protection locked="0"/>
    </xf>
    <xf numFmtId="0" fontId="29" fillId="0" borderId="11" xfId="0" applyFont="1" applyFill="1" applyBorder="1" applyAlignment="1" applyProtection="1"/>
    <xf numFmtId="3" fontId="25" fillId="0" borderId="11" xfId="0" applyNumberFormat="1" applyFont="1" applyBorder="1" applyAlignment="1" applyProtection="1"/>
    <xf numFmtId="3" fontId="21" fillId="0" borderId="11" xfId="0" applyNumberFormat="1" applyFont="1" applyFill="1" applyBorder="1" applyAlignment="1" applyProtection="1">
      <alignment vertical="top"/>
      <protection locked="0"/>
    </xf>
    <xf numFmtId="165" fontId="21" fillId="0" borderId="11" xfId="2" applyNumberFormat="1" applyFont="1" applyFill="1" applyBorder="1" applyAlignment="1" applyProtection="1">
      <alignment vertical="top"/>
      <protection locked="0"/>
    </xf>
    <xf numFmtId="0" fontId="32" fillId="0" borderId="0" xfId="0" applyFont="1" applyAlignment="1" applyProtection="1"/>
    <xf numFmtId="3" fontId="22" fillId="0" borderId="0" xfId="0" applyNumberFormat="1" applyFont="1" applyAlignment="1" applyProtection="1"/>
    <xf numFmtId="0" fontId="22" fillId="0" borderId="0" xfId="0" applyFont="1" applyAlignment="1" applyProtection="1"/>
    <xf numFmtId="3" fontId="22" fillId="0" borderId="15" xfId="0" applyNumberFormat="1" applyFont="1" applyFill="1" applyBorder="1" applyAlignment="1" applyProtection="1">
      <alignment vertical="top"/>
      <protection locked="0"/>
    </xf>
    <xf numFmtId="3" fontId="22" fillId="0" borderId="14" xfId="0" applyNumberFormat="1" applyFont="1" applyFill="1" applyBorder="1" applyAlignment="1" applyProtection="1">
      <alignment vertical="top"/>
      <protection locked="0"/>
    </xf>
    <xf numFmtId="165" fontId="22" fillId="0" borderId="10" xfId="2" applyNumberFormat="1" applyFont="1" applyFill="1" applyBorder="1" applyAlignment="1" applyProtection="1">
      <alignment vertical="top"/>
      <protection locked="0"/>
    </xf>
    <xf numFmtId="0" fontId="22" fillId="0" borderId="12" xfId="0" applyFont="1" applyFill="1" applyBorder="1" applyAlignment="1" applyProtection="1">
      <alignment vertical="top"/>
      <protection locked="0"/>
    </xf>
    <xf numFmtId="3" fontId="22" fillId="0" borderId="16" xfId="0" applyNumberFormat="1" applyFont="1" applyFill="1" applyBorder="1" applyAlignment="1" applyProtection="1">
      <alignment vertical="top"/>
      <protection locked="0"/>
    </xf>
    <xf numFmtId="0" fontId="22" fillId="0" borderId="13" xfId="0" applyFont="1" applyFill="1" applyBorder="1" applyAlignment="1" applyProtection="1">
      <alignment vertical="top"/>
      <protection locked="0"/>
    </xf>
    <xf numFmtId="0" fontId="22" fillId="0" borderId="18" xfId="0" applyFont="1" applyFill="1" applyBorder="1" applyAlignment="1" applyProtection="1">
      <alignment vertical="top"/>
      <protection locked="0"/>
    </xf>
    <xf numFmtId="3" fontId="22" fillId="0" borderId="17" xfId="0" applyNumberFormat="1" applyFont="1" applyFill="1" applyBorder="1" applyAlignment="1" applyProtection="1">
      <alignment vertical="top"/>
      <protection locked="0"/>
    </xf>
    <xf numFmtId="3" fontId="22" fillId="0" borderId="18" xfId="0" applyNumberFormat="1" applyFont="1" applyFill="1" applyBorder="1" applyAlignment="1" applyProtection="1">
      <alignment vertical="top"/>
      <protection locked="0"/>
    </xf>
    <xf numFmtId="3" fontId="21" fillId="0" borderId="20" xfId="0" applyNumberFormat="1" applyFont="1" applyFill="1" applyBorder="1" applyAlignment="1" applyProtection="1">
      <alignment vertical="top"/>
      <protection locked="0"/>
    </xf>
    <xf numFmtId="3" fontId="21" fillId="0" borderId="19" xfId="0" applyNumberFormat="1" applyFont="1" applyFill="1" applyBorder="1" applyAlignment="1" applyProtection="1">
      <alignment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165" fontId="21" fillId="0" borderId="12" xfId="2" applyNumberFormat="1" applyFont="1" applyFill="1" applyBorder="1" applyAlignment="1" applyProtection="1">
      <alignment vertical="top"/>
      <protection locked="0"/>
    </xf>
    <xf numFmtId="3" fontId="22" fillId="0" borderId="7" xfId="0" applyNumberFormat="1" applyFont="1" applyFill="1" applyBorder="1" applyAlignment="1" applyProtection="1">
      <alignment vertical="top"/>
    </xf>
    <xf numFmtId="165" fontId="22" fillId="0" borderId="9" xfId="2" applyNumberFormat="1" applyFont="1" applyFill="1" applyBorder="1" applyAlignment="1" applyProtection="1">
      <alignment vertical="top"/>
      <protection locked="0"/>
    </xf>
    <xf numFmtId="0" fontId="21" fillId="0" borderId="7" xfId="0" applyFont="1" applyFill="1" applyBorder="1" applyAlignment="1" applyProtection="1">
      <alignment vertical="top"/>
      <protection locked="0"/>
    </xf>
    <xf numFmtId="165" fontId="20" fillId="0" borderId="0" xfId="2" applyNumberFormat="1" applyFont="1" applyFill="1" applyBorder="1" applyAlignment="1" applyProtection="1">
      <alignment vertical="top"/>
      <protection locked="0"/>
    </xf>
    <xf numFmtId="0" fontId="7" fillId="2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/>
  </cellXfs>
  <cellStyles count="3">
    <cellStyle name="Normaali" xfId="0" builtinId="0"/>
    <cellStyle name="Normal 2" xfId="1"/>
    <cellStyle name="Prosenttia" xfId="2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"/>
  <sheetViews>
    <sheetView tabSelected="1" topLeftCell="AT1" workbookViewId="0">
      <selection activeCell="Z6" sqref="Z6"/>
    </sheetView>
  </sheetViews>
  <sheetFormatPr defaultColWidth="23" defaultRowHeight="12"/>
  <cols>
    <col min="1" max="1" width="28.42578125" style="28" customWidth="1"/>
    <col min="2" max="2" width="10.140625" style="28" customWidth="1"/>
    <col min="3" max="3" width="9.42578125" style="28" customWidth="1"/>
    <col min="4" max="4" width="10.85546875" style="28" customWidth="1"/>
    <col min="5" max="5" width="9.42578125" style="28" customWidth="1"/>
    <col min="6" max="6" width="9.28515625" style="28" bestFit="1" customWidth="1"/>
    <col min="7" max="7" width="9.140625" style="28" customWidth="1"/>
    <col min="8" max="8" width="9.5703125" style="28" customWidth="1"/>
    <col min="9" max="9" width="10.28515625" style="28" customWidth="1"/>
    <col min="10" max="10" width="8.28515625" style="28" bestFit="1" customWidth="1"/>
    <col min="11" max="11" width="10.5703125" style="28" bestFit="1" customWidth="1"/>
    <col min="12" max="12" width="8.140625" style="28" customWidth="1"/>
    <col min="13" max="13" width="10.7109375" style="28" customWidth="1"/>
    <col min="14" max="14" width="8.85546875" style="28" bestFit="1" customWidth="1"/>
    <col min="15" max="15" width="9.85546875" style="28" customWidth="1"/>
    <col min="16" max="16" width="8.85546875" style="28" bestFit="1" customWidth="1"/>
    <col min="17" max="17" width="8.7109375" style="28" bestFit="1" customWidth="1"/>
    <col min="18" max="18" width="10" style="28" bestFit="1" customWidth="1"/>
    <col min="19" max="19" width="7.85546875" style="28" bestFit="1" customWidth="1"/>
    <col min="20" max="20" width="10.85546875" style="28" bestFit="1" customWidth="1"/>
    <col min="21" max="21" width="7" style="28" bestFit="1" customWidth="1"/>
    <col min="22" max="22" width="11.5703125" style="28" bestFit="1" customWidth="1"/>
    <col min="23" max="23" width="8.85546875" style="28" bestFit="1" customWidth="1"/>
    <col min="24" max="24" width="8.7109375" style="28" bestFit="1" customWidth="1"/>
    <col min="25" max="25" width="8.85546875" style="28" bestFit="1" customWidth="1"/>
    <col min="26" max="26" width="8.7109375" style="28" bestFit="1" customWidth="1"/>
    <col min="27" max="27" width="10" style="28" bestFit="1" customWidth="1"/>
    <col min="28" max="28" width="7.85546875" style="28" bestFit="1" customWidth="1"/>
    <col min="29" max="29" width="10.85546875" style="28" bestFit="1" customWidth="1"/>
    <col min="30" max="30" width="7" style="28" bestFit="1" customWidth="1"/>
    <col min="31" max="31" width="11.5703125" style="28" bestFit="1" customWidth="1"/>
    <col min="32" max="32" width="8.85546875" style="28" bestFit="1" customWidth="1"/>
    <col min="33" max="33" width="8.7109375" style="28" bestFit="1" customWidth="1"/>
    <col min="34" max="34" width="8.85546875" style="28" bestFit="1" customWidth="1"/>
    <col min="35" max="35" width="8.7109375" style="28" bestFit="1" customWidth="1"/>
    <col min="36" max="36" width="10" style="28" bestFit="1" customWidth="1"/>
    <col min="37" max="37" width="7.85546875" style="28" bestFit="1" customWidth="1"/>
    <col min="38" max="38" width="10.85546875" style="28" bestFit="1" customWidth="1"/>
    <col min="39" max="39" width="7" style="28" bestFit="1" customWidth="1"/>
    <col min="40" max="40" width="11.5703125" style="28" bestFit="1" customWidth="1"/>
    <col min="41" max="41" width="8.85546875" style="28" bestFit="1" customWidth="1"/>
    <col min="42" max="42" width="8.7109375" style="28" bestFit="1" customWidth="1"/>
    <col min="43" max="43" width="8.85546875" style="28" bestFit="1" customWidth="1"/>
    <col min="44" max="44" width="8.7109375" style="28" bestFit="1" customWidth="1"/>
    <col min="45" max="45" width="9.5703125" style="28" customWidth="1"/>
    <col min="46" max="46" width="7.85546875" style="28" bestFit="1" customWidth="1"/>
    <col min="47" max="47" width="10.85546875" style="28" bestFit="1" customWidth="1"/>
    <col min="48" max="48" width="7" style="28" bestFit="1" customWidth="1"/>
    <col min="49" max="49" width="11.5703125" style="28" bestFit="1" customWidth="1"/>
    <col min="50" max="50" width="8.85546875" style="28" bestFit="1" customWidth="1"/>
    <col min="51" max="51" width="8.7109375" style="28" bestFit="1" customWidth="1"/>
    <col min="52" max="52" width="8.85546875" style="28" bestFit="1" customWidth="1"/>
    <col min="53" max="53" width="8.7109375" style="28" bestFit="1" customWidth="1"/>
    <col min="54" max="54" width="10" style="28" bestFit="1" customWidth="1"/>
    <col min="55" max="55" width="7.85546875" style="28" bestFit="1" customWidth="1"/>
    <col min="56" max="56" width="15.5703125" style="28" bestFit="1" customWidth="1"/>
    <col min="57" max="57" width="8.85546875" style="28" bestFit="1" customWidth="1"/>
    <col min="58" max="58" width="15.5703125" style="28" bestFit="1" customWidth="1"/>
    <col min="59" max="59" width="8.140625" style="28" bestFit="1" customWidth="1"/>
    <col min="60" max="16384" width="23" style="28"/>
  </cols>
  <sheetData>
    <row r="1" spans="1:66">
      <c r="A1" s="18" t="s">
        <v>34</v>
      </c>
      <c r="B1" s="19"/>
      <c r="C1" s="19"/>
      <c r="D1" s="19"/>
      <c r="E1" s="20">
        <v>2020</v>
      </c>
      <c r="F1" s="21"/>
      <c r="G1" s="21"/>
      <c r="H1" s="22"/>
      <c r="I1" s="23"/>
      <c r="J1" s="24"/>
      <c r="K1" s="25"/>
      <c r="L1" s="20">
        <v>2021</v>
      </c>
      <c r="M1" s="19"/>
      <c r="N1" s="19"/>
      <c r="O1" s="21"/>
      <c r="P1" s="21"/>
      <c r="Q1" s="22"/>
      <c r="R1" s="23"/>
      <c r="S1" s="24"/>
      <c r="T1" s="25"/>
      <c r="U1" s="20">
        <v>2022</v>
      </c>
      <c r="V1" s="19"/>
      <c r="W1" s="19"/>
      <c r="X1" s="21"/>
      <c r="Y1" s="21"/>
      <c r="Z1" s="22"/>
      <c r="AA1" s="23"/>
      <c r="AB1" s="24"/>
      <c r="AC1" s="25"/>
      <c r="AD1" s="20">
        <v>2023</v>
      </c>
      <c r="AE1" s="19"/>
      <c r="AF1" s="19"/>
      <c r="AG1" s="21"/>
      <c r="AH1" s="21"/>
      <c r="AI1" s="22"/>
      <c r="AJ1" s="23"/>
      <c r="AK1" s="24"/>
      <c r="AL1" s="25"/>
      <c r="AM1" s="20">
        <v>2024</v>
      </c>
      <c r="AN1" s="19"/>
      <c r="AO1" s="19"/>
      <c r="AP1" s="21"/>
      <c r="AQ1" s="21"/>
      <c r="AR1" s="22"/>
      <c r="AS1" s="23"/>
      <c r="AT1" s="24"/>
      <c r="AU1" s="25"/>
      <c r="AV1" s="20">
        <v>2025</v>
      </c>
      <c r="AW1" s="19"/>
      <c r="AX1" s="19"/>
      <c r="AY1" s="21"/>
      <c r="AZ1" s="21"/>
      <c r="BA1" s="22"/>
      <c r="BB1" s="23"/>
      <c r="BC1" s="24"/>
      <c r="BD1" s="26"/>
      <c r="BE1" s="27"/>
      <c r="BF1" s="26"/>
      <c r="BG1" s="27"/>
    </row>
    <row r="2" spans="1:66">
      <c r="A2" s="34" t="s">
        <v>53</v>
      </c>
      <c r="B2" s="29"/>
      <c r="C2" s="29"/>
      <c r="D2" s="29"/>
      <c r="E2" s="29"/>
      <c r="F2" s="30"/>
      <c r="G2" s="30"/>
      <c r="H2" s="31"/>
      <c r="I2" s="32"/>
      <c r="K2" s="33"/>
      <c r="L2" s="29"/>
      <c r="M2" s="29"/>
      <c r="N2" s="29"/>
      <c r="O2" s="30"/>
      <c r="P2" s="30"/>
      <c r="Q2" s="31"/>
      <c r="R2" s="32"/>
      <c r="T2" s="33"/>
      <c r="U2" s="29"/>
      <c r="V2" s="29"/>
      <c r="W2" s="29"/>
      <c r="X2" s="30"/>
      <c r="Y2" s="30"/>
      <c r="Z2" s="31"/>
      <c r="AA2" s="32"/>
      <c r="AC2" s="33"/>
      <c r="AD2" s="29"/>
      <c r="AE2" s="29"/>
      <c r="AF2" s="29"/>
      <c r="AG2" s="30"/>
      <c r="AH2" s="30"/>
      <c r="AI2" s="31"/>
      <c r="AJ2" s="32"/>
      <c r="AL2" s="33"/>
      <c r="AM2" s="29"/>
      <c r="AN2" s="29"/>
      <c r="AO2" s="29"/>
      <c r="AP2" s="30"/>
      <c r="AQ2" s="30"/>
      <c r="AR2" s="31"/>
      <c r="AS2" s="32"/>
      <c r="AU2" s="33"/>
      <c r="AV2" s="29"/>
      <c r="AW2" s="29"/>
      <c r="AX2" s="29"/>
      <c r="AY2" s="30"/>
      <c r="AZ2" s="30"/>
      <c r="BA2" s="31"/>
      <c r="BB2" s="32"/>
      <c r="BD2" s="34"/>
      <c r="BE2" s="35"/>
      <c r="BF2" s="34"/>
      <c r="BG2" s="35"/>
    </row>
    <row r="3" spans="1:66" ht="36">
      <c r="A3" s="34"/>
      <c r="B3" s="36" t="s">
        <v>35</v>
      </c>
      <c r="C3" s="36" t="s">
        <v>36</v>
      </c>
      <c r="D3" s="36" t="s">
        <v>37</v>
      </c>
      <c r="E3" s="37" t="s">
        <v>38</v>
      </c>
      <c r="F3" s="38" t="s">
        <v>39</v>
      </c>
      <c r="G3" s="39" t="s">
        <v>38</v>
      </c>
      <c r="H3" s="40" t="s">
        <v>40</v>
      </c>
      <c r="I3" s="41" t="s">
        <v>41</v>
      </c>
      <c r="J3" s="42" t="s">
        <v>42</v>
      </c>
      <c r="K3" s="43" t="s">
        <v>43</v>
      </c>
      <c r="L3" s="36" t="s">
        <v>44</v>
      </c>
      <c r="M3" s="36" t="s">
        <v>45</v>
      </c>
      <c r="N3" s="37" t="s">
        <v>38</v>
      </c>
      <c r="O3" s="38" t="s">
        <v>39</v>
      </c>
      <c r="P3" s="44" t="s">
        <v>38</v>
      </c>
      <c r="Q3" s="40" t="s">
        <v>40</v>
      </c>
      <c r="R3" s="41" t="s">
        <v>41</v>
      </c>
      <c r="S3" s="42" t="s">
        <v>42</v>
      </c>
      <c r="T3" s="43" t="s">
        <v>35</v>
      </c>
      <c r="U3" s="36" t="s">
        <v>44</v>
      </c>
      <c r="V3" s="36" t="s">
        <v>45</v>
      </c>
      <c r="W3" s="37" t="s">
        <v>38</v>
      </c>
      <c r="X3" s="38" t="s">
        <v>46</v>
      </c>
      <c r="Y3" s="44" t="s">
        <v>38</v>
      </c>
      <c r="Z3" s="40" t="s">
        <v>40</v>
      </c>
      <c r="AA3" s="41" t="s">
        <v>41</v>
      </c>
      <c r="AB3" s="42" t="s">
        <v>42</v>
      </c>
      <c r="AC3" s="43" t="s">
        <v>35</v>
      </c>
      <c r="AD3" s="36" t="s">
        <v>44</v>
      </c>
      <c r="AE3" s="36" t="s">
        <v>45</v>
      </c>
      <c r="AF3" s="37" t="s">
        <v>38</v>
      </c>
      <c r="AG3" s="38" t="s">
        <v>39</v>
      </c>
      <c r="AH3" s="44" t="s">
        <v>38</v>
      </c>
      <c r="AI3" s="40" t="s">
        <v>40</v>
      </c>
      <c r="AJ3" s="41" t="s">
        <v>41</v>
      </c>
      <c r="AK3" s="42" t="s">
        <v>42</v>
      </c>
      <c r="AL3" s="43" t="s">
        <v>35</v>
      </c>
      <c r="AM3" s="36" t="s">
        <v>44</v>
      </c>
      <c r="AN3" s="36" t="s">
        <v>45</v>
      </c>
      <c r="AO3" s="37" t="s">
        <v>38</v>
      </c>
      <c r="AP3" s="38" t="s">
        <v>39</v>
      </c>
      <c r="AQ3" s="44" t="s">
        <v>38</v>
      </c>
      <c r="AR3" s="40" t="s">
        <v>40</v>
      </c>
      <c r="AS3" s="41" t="s">
        <v>77</v>
      </c>
      <c r="AT3" s="42" t="s">
        <v>42</v>
      </c>
      <c r="AU3" s="43" t="s">
        <v>35</v>
      </c>
      <c r="AV3" s="36" t="s">
        <v>44</v>
      </c>
      <c r="AW3" s="36" t="s">
        <v>45</v>
      </c>
      <c r="AX3" s="37" t="s">
        <v>47</v>
      </c>
      <c r="AY3" s="38" t="s">
        <v>39</v>
      </c>
      <c r="AZ3" s="44" t="s">
        <v>38</v>
      </c>
      <c r="BA3" s="40" t="s">
        <v>40</v>
      </c>
      <c r="BB3" s="41" t="s">
        <v>41</v>
      </c>
      <c r="BC3" s="42" t="s">
        <v>42</v>
      </c>
      <c r="BD3" s="45" t="s">
        <v>48</v>
      </c>
      <c r="BE3" s="46" t="s">
        <v>49</v>
      </c>
      <c r="BF3" s="47" t="s">
        <v>50</v>
      </c>
      <c r="BG3" s="46" t="s">
        <v>49</v>
      </c>
    </row>
    <row r="4" spans="1:66">
      <c r="A4" s="47" t="s">
        <v>3</v>
      </c>
      <c r="B4" s="48">
        <v>1307028.99377567</v>
      </c>
      <c r="C4" s="48">
        <v>80893</v>
      </c>
      <c r="D4" s="48">
        <v>1387921.99377567</v>
      </c>
      <c r="E4" s="48">
        <v>-119797.95173956</v>
      </c>
      <c r="F4" s="49">
        <v>309363.75106021098</v>
      </c>
      <c r="G4" s="49">
        <v>10280.600356538</v>
      </c>
      <c r="H4" s="50">
        <v>1697285.7448358811</v>
      </c>
      <c r="I4" s="51">
        <v>-109517.351383022</v>
      </c>
      <c r="J4" s="52">
        <v>607621</v>
      </c>
      <c r="K4" s="53">
        <v>1273683.6938143009</v>
      </c>
      <c r="L4" s="29"/>
      <c r="M4" s="48">
        <v>1273683.6938143009</v>
      </c>
      <c r="N4" s="48">
        <v>-114238.29996136902</v>
      </c>
      <c r="O4" s="49">
        <v>310510.93235879892</v>
      </c>
      <c r="P4" s="49">
        <v>1147.1812985879369</v>
      </c>
      <c r="Q4" s="50">
        <v>1584194.6261731</v>
      </c>
      <c r="R4" s="51">
        <v>-113091.11866278108</v>
      </c>
      <c r="S4" s="52">
        <v>494529.88133721892</v>
      </c>
      <c r="T4" s="53">
        <v>1242666.7892922396</v>
      </c>
      <c r="U4" s="29"/>
      <c r="V4" s="48">
        <v>1242666.7892922396</v>
      </c>
      <c r="W4" s="48">
        <v>-31016.904522061348</v>
      </c>
      <c r="X4" s="49">
        <v>308204.36966597231</v>
      </c>
      <c r="Y4" s="49">
        <v>-2306.5626928266138</v>
      </c>
      <c r="Z4" s="50">
        <v>1550871.158958212</v>
      </c>
      <c r="AA4" s="51">
        <v>-33323.467214887962</v>
      </c>
      <c r="AB4" s="52">
        <v>461206.41412233096</v>
      </c>
      <c r="AC4" s="53">
        <v>1211693.4645815599</v>
      </c>
      <c r="AD4" s="29"/>
      <c r="AE4" s="48">
        <v>1211693.4645815599</v>
      </c>
      <c r="AF4" s="48">
        <v>-30973.324710679706</v>
      </c>
      <c r="AG4" s="49">
        <v>305761.79483444087</v>
      </c>
      <c r="AH4" s="49">
        <v>-2442.5748315314413</v>
      </c>
      <c r="AI4" s="50">
        <v>1517455.2594160007</v>
      </c>
      <c r="AJ4" s="51">
        <v>-33415.899542211322</v>
      </c>
      <c r="AK4" s="52">
        <v>427790.51458011963</v>
      </c>
      <c r="AL4" s="53">
        <v>1185726.7250300017</v>
      </c>
      <c r="AM4" s="29"/>
      <c r="AN4" s="48">
        <v>1185726.7250300017</v>
      </c>
      <c r="AO4" s="48">
        <v>-25966.739551558159</v>
      </c>
      <c r="AP4" s="49">
        <v>304209.98244774149</v>
      </c>
      <c r="AQ4" s="49">
        <v>-1551.8123866993701</v>
      </c>
      <c r="AR4" s="50">
        <v>1489936.7074777433</v>
      </c>
      <c r="AS4" s="51">
        <v>-27518.551938257413</v>
      </c>
      <c r="AT4" s="52">
        <v>400271.96264186222</v>
      </c>
      <c r="AU4" s="53">
        <v>1159623.3228254984</v>
      </c>
      <c r="AV4" s="29"/>
      <c r="AW4" s="48">
        <v>1159623.3228254984</v>
      </c>
      <c r="AX4" s="48">
        <v>-26103.402204503305</v>
      </c>
      <c r="AY4" s="49">
        <v>302507.27185138705</v>
      </c>
      <c r="AZ4" s="49">
        <v>-1702.7105963544454</v>
      </c>
      <c r="BA4" s="50">
        <v>1462130.5946768855</v>
      </c>
      <c r="BB4" s="51">
        <v>-27806.112800857751</v>
      </c>
      <c r="BC4" s="52">
        <v>372465.84984100447</v>
      </c>
      <c r="BD4" s="54">
        <v>-235155.15015899553</v>
      </c>
      <c r="BE4" s="55">
        <v>-0.13854776714791406</v>
      </c>
      <c r="BF4" s="54">
        <v>-122064.03149621445</v>
      </c>
      <c r="BG4" s="55">
        <v>-7.7051158664186062E-2</v>
      </c>
    </row>
    <row r="5" spans="1:66">
      <c r="A5" s="47" t="s">
        <v>5</v>
      </c>
      <c r="B5" s="48">
        <v>1572995.3583368701</v>
      </c>
      <c r="C5" s="48">
        <v>112354</v>
      </c>
      <c r="D5" s="48">
        <v>1685349.3583368701</v>
      </c>
      <c r="E5" s="48">
        <v>-112776.11046075</v>
      </c>
      <c r="F5" s="49">
        <v>561561.582148307</v>
      </c>
      <c r="G5" s="49">
        <v>21291.890336126999</v>
      </c>
      <c r="H5" s="50">
        <v>2246910.9404851771</v>
      </c>
      <c r="I5" s="51">
        <v>-91484.220124622807</v>
      </c>
      <c r="J5" s="52">
        <v>267842</v>
      </c>
      <c r="K5" s="53">
        <v>1564260.5525542728</v>
      </c>
      <c r="L5" s="48">
        <v>15000</v>
      </c>
      <c r="M5" s="48">
        <v>1579260.5525542728</v>
      </c>
      <c r="N5" s="48">
        <v>-106088.80578259728</v>
      </c>
      <c r="O5" s="49">
        <v>571772.93166455743</v>
      </c>
      <c r="P5" s="49">
        <v>10211.349516250426</v>
      </c>
      <c r="Q5" s="50">
        <v>2151033.4842188302</v>
      </c>
      <c r="R5" s="51">
        <v>-95877.456266346853</v>
      </c>
      <c r="S5" s="52">
        <v>171964.54373365315</v>
      </c>
      <c r="T5" s="53">
        <v>1527131.6911129942</v>
      </c>
      <c r="U5" s="48">
        <v>15000</v>
      </c>
      <c r="V5" s="48">
        <v>1542131.6911129942</v>
      </c>
      <c r="W5" s="48">
        <v>-37128.861441278597</v>
      </c>
      <c r="X5" s="49">
        <v>569132.93616549519</v>
      </c>
      <c r="Y5" s="49">
        <v>-2639.9954990622355</v>
      </c>
      <c r="Z5" s="50">
        <v>2111264.6272784895</v>
      </c>
      <c r="AA5" s="51">
        <v>-39768.856940340716</v>
      </c>
      <c r="AB5" s="52">
        <v>132195.68679331243</v>
      </c>
      <c r="AC5" s="53">
        <v>1489859.1030493616</v>
      </c>
      <c r="AD5" s="48">
        <v>15000</v>
      </c>
      <c r="AE5" s="48">
        <v>1504859.1030493616</v>
      </c>
      <c r="AF5" s="48">
        <v>-37272.588063632604</v>
      </c>
      <c r="AG5" s="49">
        <v>566291.81890724064</v>
      </c>
      <c r="AH5" s="49">
        <v>-2841.1172582545551</v>
      </c>
      <c r="AI5" s="50">
        <v>2071150.9219566023</v>
      </c>
      <c r="AJ5" s="51">
        <v>-40113.705321887275</v>
      </c>
      <c r="AK5" s="52">
        <v>92081.981471425155</v>
      </c>
      <c r="AL5" s="53">
        <v>1464297.5495996452</v>
      </c>
      <c r="AM5" s="48">
        <v>15000</v>
      </c>
      <c r="AN5" s="48">
        <v>1479297.5495996452</v>
      </c>
      <c r="AO5" s="48">
        <v>-25561.553449716419</v>
      </c>
      <c r="AP5" s="49">
        <v>565696.32240089308</v>
      </c>
      <c r="AQ5" s="49">
        <v>-595.4965063475538</v>
      </c>
      <c r="AR5" s="50">
        <v>2044993.8720005383</v>
      </c>
      <c r="AS5" s="51">
        <v>-26157.049956063973</v>
      </c>
      <c r="AT5" s="52">
        <v>65924.931515361182</v>
      </c>
      <c r="AU5" s="53">
        <v>1441009.9997255064</v>
      </c>
      <c r="AV5" s="48">
        <v>15000</v>
      </c>
      <c r="AW5" s="48">
        <v>1456009.9997255064</v>
      </c>
      <c r="AX5" s="48">
        <v>-23287.549874138786</v>
      </c>
      <c r="AY5" s="49">
        <v>565466.91346838686</v>
      </c>
      <c r="AZ5" s="49">
        <v>-229.40893250622321</v>
      </c>
      <c r="BA5" s="50">
        <v>2021476.9131938932</v>
      </c>
      <c r="BB5" s="51">
        <v>-23516.958806645125</v>
      </c>
      <c r="BC5" s="52">
        <v>42407.972708716057</v>
      </c>
      <c r="BD5" s="54">
        <v>-225434.02729128394</v>
      </c>
      <c r="BE5" s="55">
        <v>-0.10033064650199523</v>
      </c>
      <c r="BF5" s="54">
        <v>-129556.57102493709</v>
      </c>
      <c r="BG5" s="55">
        <v>-6.0229918304589701E-2</v>
      </c>
    </row>
    <row r="6" spans="1:66">
      <c r="A6" s="47" t="s">
        <v>6</v>
      </c>
      <c r="B6" s="48">
        <v>1859918.1054281199</v>
      </c>
      <c r="C6" s="48">
        <v>137612</v>
      </c>
      <c r="D6" s="48">
        <v>1997530.1054281199</v>
      </c>
      <c r="E6" s="48">
        <v>-154615.91112241999</v>
      </c>
      <c r="F6" s="49">
        <v>805385.563320891</v>
      </c>
      <c r="G6" s="49">
        <v>24678.831096702001</v>
      </c>
      <c r="H6" s="50">
        <v>2802915.6687490111</v>
      </c>
      <c r="I6" s="51">
        <v>-129937.08002571799</v>
      </c>
      <c r="J6" s="56">
        <v>-81607</v>
      </c>
      <c r="K6" s="53">
        <v>1870549.0153289803</v>
      </c>
      <c r="L6" s="48">
        <v>22500</v>
      </c>
      <c r="M6" s="48">
        <v>1893049.0153289803</v>
      </c>
      <c r="N6" s="48">
        <v>-104481.0900991396</v>
      </c>
      <c r="O6" s="49">
        <v>823565.46927904128</v>
      </c>
      <c r="P6" s="49">
        <v>18179.905958150281</v>
      </c>
      <c r="Q6" s="50">
        <v>2716614.4846080216</v>
      </c>
      <c r="R6" s="51">
        <v>-86301.184140989557</v>
      </c>
      <c r="S6" s="56">
        <v>-167908.18414098956</v>
      </c>
      <c r="T6" s="53">
        <v>1852208.1987003111</v>
      </c>
      <c r="U6" s="48">
        <v>22500</v>
      </c>
      <c r="V6" s="48">
        <v>1874708.1987003111</v>
      </c>
      <c r="W6" s="48">
        <v>-18340.816628669156</v>
      </c>
      <c r="X6" s="49">
        <v>825618.6048290421</v>
      </c>
      <c r="Y6" s="49">
        <v>2053.1355500008212</v>
      </c>
      <c r="Z6" s="50">
        <v>2700326.8035293533</v>
      </c>
      <c r="AA6" s="51">
        <v>-16287.681078668218</v>
      </c>
      <c r="AB6" s="56">
        <v>-184195.86521965778</v>
      </c>
      <c r="AC6" s="53">
        <v>1810873.4260236016</v>
      </c>
      <c r="AD6" s="48">
        <v>22500</v>
      </c>
      <c r="AE6" s="48">
        <v>1833373.4260236016</v>
      </c>
      <c r="AF6" s="48">
        <v>-41334.772676709574</v>
      </c>
      <c r="AG6" s="49">
        <v>822958.84622881503</v>
      </c>
      <c r="AH6" s="49">
        <v>-2659.7586002270691</v>
      </c>
      <c r="AI6" s="50">
        <v>2656332.2722524167</v>
      </c>
      <c r="AJ6" s="51">
        <v>-43994.531276936643</v>
      </c>
      <c r="AK6" s="56">
        <v>-228190.39649659442</v>
      </c>
      <c r="AL6" s="53">
        <v>1761781.6163458619</v>
      </c>
      <c r="AM6" s="48">
        <v>22500</v>
      </c>
      <c r="AN6" s="48">
        <v>1784281.6163458619</v>
      </c>
      <c r="AO6" s="48">
        <v>-49091.809677739628</v>
      </c>
      <c r="AP6" s="49">
        <v>818519.2640894755</v>
      </c>
      <c r="AQ6" s="49">
        <v>-4439.5821393395308</v>
      </c>
      <c r="AR6" s="50">
        <v>2602800.8804353373</v>
      </c>
      <c r="AS6" s="51">
        <v>-53531.391817079391</v>
      </c>
      <c r="AT6" s="56">
        <v>-281721.78831367381</v>
      </c>
      <c r="AU6" s="53">
        <v>1722408.9383975344</v>
      </c>
      <c r="AV6" s="48">
        <v>22500</v>
      </c>
      <c r="AW6" s="48">
        <v>1744908.9383975344</v>
      </c>
      <c r="AX6" s="48">
        <v>-39372.677948327502</v>
      </c>
      <c r="AY6" s="49">
        <v>815866.3220355385</v>
      </c>
      <c r="AZ6" s="49">
        <v>-2652.9420539370039</v>
      </c>
      <c r="BA6" s="50">
        <v>2560775.2604330732</v>
      </c>
      <c r="BB6" s="51">
        <v>-42025.620002264157</v>
      </c>
      <c r="BC6" s="56">
        <v>-323747.40831593797</v>
      </c>
      <c r="BD6" s="54">
        <v>-242140.40831593797</v>
      </c>
      <c r="BE6" s="55">
        <v>-8.6388759753164221E-2</v>
      </c>
      <c r="BF6" s="54">
        <v>-155839.22417494841</v>
      </c>
      <c r="BG6" s="55">
        <v>-5.736523347641443E-2</v>
      </c>
    </row>
    <row r="7" spans="1:66">
      <c r="A7" s="47" t="s">
        <v>7</v>
      </c>
      <c r="B7" s="48">
        <v>1302531.0799183899</v>
      </c>
      <c r="C7" s="48">
        <v>80615</v>
      </c>
      <c r="D7" s="48">
        <v>1383146.0799183899</v>
      </c>
      <c r="E7" s="48">
        <v>-95925.400737420205</v>
      </c>
      <c r="F7" s="49">
        <v>395522.40871331899</v>
      </c>
      <c r="G7" s="49">
        <v>15795.004184081999</v>
      </c>
      <c r="H7" s="50">
        <v>1778668.488631709</v>
      </c>
      <c r="I7" s="51">
        <v>-80130.3965533382</v>
      </c>
      <c r="J7" s="52">
        <v>808435</v>
      </c>
      <c r="K7" s="53">
        <v>1314403.071500306</v>
      </c>
      <c r="L7" s="48"/>
      <c r="M7" s="48">
        <v>1314403.071500306</v>
      </c>
      <c r="N7" s="48">
        <v>-68743.008418083889</v>
      </c>
      <c r="O7" s="49">
        <v>406766.66116028244</v>
      </c>
      <c r="P7" s="49">
        <v>11244.252446963452</v>
      </c>
      <c r="Q7" s="50">
        <v>1721169.7326605883</v>
      </c>
      <c r="R7" s="51">
        <v>-57498.75597112067</v>
      </c>
      <c r="S7" s="52">
        <v>750936.24402887933</v>
      </c>
      <c r="T7" s="53">
        <v>1297294.3135515631</v>
      </c>
      <c r="U7" s="48"/>
      <c r="V7" s="48">
        <v>1297294.3135515631</v>
      </c>
      <c r="W7" s="48">
        <v>-17108.757948742947</v>
      </c>
      <c r="X7" s="49">
        <v>407365.42068451666</v>
      </c>
      <c r="Y7" s="49">
        <v>598.75952423422132</v>
      </c>
      <c r="Z7" s="50">
        <v>1704659.7342360797</v>
      </c>
      <c r="AA7" s="51">
        <v>-16509.998424508609</v>
      </c>
      <c r="AB7" s="52">
        <v>734426.24560437072</v>
      </c>
      <c r="AC7" s="53">
        <v>1282838.0630132356</v>
      </c>
      <c r="AD7" s="48"/>
      <c r="AE7" s="48">
        <v>1282838.0630132356</v>
      </c>
      <c r="AF7" s="48">
        <v>-14456.250538327498</v>
      </c>
      <c r="AG7" s="49">
        <v>408445.47256401629</v>
      </c>
      <c r="AH7" s="49">
        <v>1080.0518794996315</v>
      </c>
      <c r="AI7" s="50">
        <v>1691283.5355772518</v>
      </c>
      <c r="AJ7" s="51">
        <v>-13376.198658827925</v>
      </c>
      <c r="AK7" s="52">
        <v>721050.0469455428</v>
      </c>
      <c r="AL7" s="53">
        <v>1295736.5648760539</v>
      </c>
      <c r="AM7" s="48"/>
      <c r="AN7" s="48">
        <v>1295736.5648760539</v>
      </c>
      <c r="AO7" s="48">
        <v>12898.501862818375</v>
      </c>
      <c r="AP7" s="49">
        <v>415129.85195477179</v>
      </c>
      <c r="AQ7" s="49">
        <v>6684.3793907554937</v>
      </c>
      <c r="AR7" s="50">
        <v>1710866.4168308256</v>
      </c>
      <c r="AS7" s="51">
        <v>19582.881253573811</v>
      </c>
      <c r="AT7" s="52">
        <v>740632.92819911661</v>
      </c>
      <c r="AU7" s="53">
        <v>1278211.6110739363</v>
      </c>
      <c r="AV7" s="48"/>
      <c r="AW7" s="48">
        <v>1278211.6110739363</v>
      </c>
      <c r="AX7" s="48">
        <v>-17524.953802117612</v>
      </c>
      <c r="AY7" s="49">
        <v>415572.02882021002</v>
      </c>
      <c r="AZ7" s="49">
        <v>442.1768654382322</v>
      </c>
      <c r="BA7" s="50">
        <v>1693783.6398941465</v>
      </c>
      <c r="BB7" s="51">
        <v>-17082.776936679147</v>
      </c>
      <c r="BC7" s="52">
        <v>723550.15126243746</v>
      </c>
      <c r="BD7" s="54">
        <v>-84884.848737562541</v>
      </c>
      <c r="BE7" s="55">
        <v>-4.7723816596572537E-2</v>
      </c>
      <c r="BF7" s="54">
        <v>-27386.09276644187</v>
      </c>
      <c r="BG7" s="55">
        <v>-1.5911326028321671E-2</v>
      </c>
    </row>
    <row r="8" spans="1:66">
      <c r="A8" s="47" t="s">
        <v>8</v>
      </c>
      <c r="B8" s="48">
        <v>1152334.3501951999</v>
      </c>
      <c r="C8" s="48">
        <v>71319</v>
      </c>
      <c r="D8" s="48">
        <v>1223653.3501951999</v>
      </c>
      <c r="E8" s="48">
        <v>-98922.192287550104</v>
      </c>
      <c r="F8" s="49">
        <v>364929.86400410801</v>
      </c>
      <c r="G8" s="49">
        <v>12031.977505408</v>
      </c>
      <c r="H8" s="50">
        <v>1588583.2141993078</v>
      </c>
      <c r="I8" s="51">
        <v>-86890.214782142095</v>
      </c>
      <c r="J8" s="52">
        <v>432663</v>
      </c>
      <c r="K8" s="53">
        <v>1143511.2460380865</v>
      </c>
      <c r="L8" s="48"/>
      <c r="M8" s="48">
        <v>1143511.2460380865</v>
      </c>
      <c r="N8" s="48">
        <v>-80142.10415711347</v>
      </c>
      <c r="O8" s="49">
        <v>371282.76843903039</v>
      </c>
      <c r="P8" s="49">
        <v>6352.9044349223841</v>
      </c>
      <c r="Q8" s="50">
        <v>1514794.014477117</v>
      </c>
      <c r="R8" s="51">
        <v>-73789.199722190853</v>
      </c>
      <c r="S8" s="52">
        <v>358873.80027780915</v>
      </c>
      <c r="T8" s="53">
        <v>1125106.6373758723</v>
      </c>
      <c r="U8" s="48"/>
      <c r="V8" s="48">
        <v>1125106.6373758723</v>
      </c>
      <c r="W8" s="48">
        <v>-18404.60866221413</v>
      </c>
      <c r="X8" s="49">
        <v>371099.84163443709</v>
      </c>
      <c r="Y8" s="49">
        <v>-182.92680459329858</v>
      </c>
      <c r="Z8" s="50">
        <v>1496206.4790103096</v>
      </c>
      <c r="AA8" s="51">
        <v>-18587.535466807429</v>
      </c>
      <c r="AB8" s="52">
        <v>340286.26481100172</v>
      </c>
      <c r="AC8" s="53">
        <v>1101558.0701533346</v>
      </c>
      <c r="AD8" s="48"/>
      <c r="AE8" s="48">
        <v>1101558.0701533346</v>
      </c>
      <c r="AF8" s="48">
        <v>-23548.567222537706</v>
      </c>
      <c r="AG8" s="49">
        <v>369800.9021035211</v>
      </c>
      <c r="AH8" s="49">
        <v>-1298.9395309159881</v>
      </c>
      <c r="AI8" s="50">
        <v>1471358.9722568558</v>
      </c>
      <c r="AJ8" s="51">
        <v>-24847.506753453752</v>
      </c>
      <c r="AK8" s="52">
        <v>315438.75805754797</v>
      </c>
      <c r="AL8" s="53">
        <v>1077246.4627910955</v>
      </c>
      <c r="AM8" s="48"/>
      <c r="AN8" s="48">
        <v>1077246.4627910955</v>
      </c>
      <c r="AO8" s="48">
        <v>-24311.607362239156</v>
      </c>
      <c r="AP8" s="49">
        <v>368244.77069482324</v>
      </c>
      <c r="AQ8" s="49">
        <v>-1556.1314086978673</v>
      </c>
      <c r="AR8" s="50">
        <v>1445491.2334859187</v>
      </c>
      <c r="AS8" s="51">
        <v>-25867.738770937081</v>
      </c>
      <c r="AT8" s="52">
        <v>289571.01928661088</v>
      </c>
      <c r="AU8" s="53">
        <v>1053156.3161137151</v>
      </c>
      <c r="AV8" s="48"/>
      <c r="AW8" s="48">
        <v>1053156.3161137151</v>
      </c>
      <c r="AX8" s="48">
        <v>-24090.146677380428</v>
      </c>
      <c r="AY8" s="49">
        <v>366619.35394549044</v>
      </c>
      <c r="AZ8" s="49">
        <v>-1625.4167493327986</v>
      </c>
      <c r="BA8" s="50">
        <v>1419775.6700592055</v>
      </c>
      <c r="BB8" s="51">
        <v>-25715.563426713226</v>
      </c>
      <c r="BC8" s="52">
        <v>263855.45585989766</v>
      </c>
      <c r="BD8" s="54">
        <v>-168807.54414010234</v>
      </c>
      <c r="BE8" s="55">
        <v>-0.10626295344886057</v>
      </c>
      <c r="BF8" s="54">
        <v>-95018.344417911489</v>
      </c>
      <c r="BG8" s="55">
        <v>-6.2726907757626918E-2</v>
      </c>
    </row>
    <row r="9" spans="1:66">
      <c r="A9" s="47" t="s">
        <v>51</v>
      </c>
      <c r="B9" s="48">
        <v>4843065.4261429198</v>
      </c>
      <c r="C9" s="48">
        <v>299741</v>
      </c>
      <c r="D9" s="48">
        <v>5142806.4261429198</v>
      </c>
      <c r="E9" s="48">
        <v>-456240.70702536002</v>
      </c>
      <c r="F9" s="49">
        <v>1465804.3056864</v>
      </c>
      <c r="G9" s="49">
        <v>48903.761872759998</v>
      </c>
      <c r="H9" s="50">
        <v>6608610.7318293201</v>
      </c>
      <c r="I9" s="51">
        <v>-407336.9451526</v>
      </c>
      <c r="J9" s="52">
        <v>2225215</v>
      </c>
      <c r="K9" s="53">
        <v>4717195.4909736495</v>
      </c>
      <c r="L9" s="48"/>
      <c r="M9" s="48">
        <v>4717195.4909736495</v>
      </c>
      <c r="N9" s="48">
        <v>-425610.93516927026</v>
      </c>
      <c r="O9" s="49">
        <v>1474072.6490868041</v>
      </c>
      <c r="P9" s="49">
        <v>8268.3434004040901</v>
      </c>
      <c r="Q9" s="50">
        <v>6191268.1400604537</v>
      </c>
      <c r="R9" s="51">
        <v>-417342.5917688664</v>
      </c>
      <c r="S9" s="52">
        <v>1807872.4082311336</v>
      </c>
      <c r="T9" s="53">
        <v>4608361.029397618</v>
      </c>
      <c r="U9" s="48"/>
      <c r="V9" s="48">
        <v>4608361.029397618</v>
      </c>
      <c r="W9" s="48">
        <v>-108834.46157603152</v>
      </c>
      <c r="X9" s="49">
        <v>1466737.5935082701</v>
      </c>
      <c r="Y9" s="49">
        <v>-7335.0555785340257</v>
      </c>
      <c r="Z9" s="50">
        <v>6075098.6229058877</v>
      </c>
      <c r="AA9" s="51">
        <v>-116169.51715456601</v>
      </c>
      <c r="AB9" s="52">
        <v>1691702.8910765676</v>
      </c>
      <c r="AC9" s="53">
        <v>4513745.4835874569</v>
      </c>
      <c r="AD9" s="48"/>
      <c r="AE9" s="48">
        <v>4513745.4835874569</v>
      </c>
      <c r="AF9" s="48">
        <v>-94615.545810161158</v>
      </c>
      <c r="AG9" s="49">
        <v>1461790.3632430821</v>
      </c>
      <c r="AH9" s="49">
        <v>-4947.2302651880309</v>
      </c>
      <c r="AI9" s="50">
        <v>5975535.8468305394</v>
      </c>
      <c r="AJ9" s="51">
        <v>-99562.776075348258</v>
      </c>
      <c r="AK9" s="52">
        <v>1592140.1150012193</v>
      </c>
      <c r="AL9" s="53">
        <v>4409450.7551422268</v>
      </c>
      <c r="AM9" s="48"/>
      <c r="AN9" s="48">
        <v>4409450.7551422268</v>
      </c>
      <c r="AO9" s="48">
        <v>-104294.72844523005</v>
      </c>
      <c r="AP9" s="49">
        <v>1454450.0032868199</v>
      </c>
      <c r="AQ9" s="49">
        <v>-7340.3599562621675</v>
      </c>
      <c r="AR9" s="50">
        <v>5863900.7584290467</v>
      </c>
      <c r="AS9" s="51">
        <v>-111635.08840149269</v>
      </c>
      <c r="AT9" s="52">
        <v>1480505.0265997266</v>
      </c>
      <c r="AU9" s="53">
        <v>4307758.2114866581</v>
      </c>
      <c r="AV9" s="48"/>
      <c r="AW9" s="48">
        <v>4307758.2114866581</v>
      </c>
      <c r="AX9" s="48">
        <v>-101692.54365556873</v>
      </c>
      <c r="AY9" s="49">
        <v>1447150.8561936808</v>
      </c>
      <c r="AZ9" s="49">
        <v>-7299.1470931391232</v>
      </c>
      <c r="BA9" s="50">
        <v>5754909.0676803384</v>
      </c>
      <c r="BB9" s="51">
        <v>-108991.69074870832</v>
      </c>
      <c r="BC9" s="52">
        <v>1371513.3358510183</v>
      </c>
      <c r="BD9" s="54">
        <v>-853701.66414898168</v>
      </c>
      <c r="BE9" s="55">
        <v>-0.12918020122402787</v>
      </c>
      <c r="BF9" s="54">
        <v>-436359.07238011528</v>
      </c>
      <c r="BG9" s="55">
        <v>-7.0479756732980806E-2</v>
      </c>
    </row>
    <row r="10" spans="1:66">
      <c r="A10" s="47" t="s">
        <v>9</v>
      </c>
      <c r="B10" s="48">
        <v>1729822.69794844</v>
      </c>
      <c r="C10" s="48">
        <v>107060</v>
      </c>
      <c r="D10" s="48">
        <v>1836882.69794844</v>
      </c>
      <c r="E10" s="48">
        <v>-173781.31303284</v>
      </c>
      <c r="F10" s="49">
        <v>604715.82795092894</v>
      </c>
      <c r="G10" s="49">
        <v>15184.29008051</v>
      </c>
      <c r="H10" s="50">
        <v>2441598.5258993688</v>
      </c>
      <c r="I10" s="51">
        <v>-158597.02295233001</v>
      </c>
      <c r="J10" s="52">
        <v>4980</v>
      </c>
      <c r="K10" s="53">
        <v>1684288.5811254361</v>
      </c>
      <c r="L10" s="48"/>
      <c r="M10" s="48">
        <v>1684288.5811254361</v>
      </c>
      <c r="N10" s="48">
        <v>-152594.11682300386</v>
      </c>
      <c r="O10" s="49">
        <v>608691.90798558691</v>
      </c>
      <c r="P10" s="49">
        <v>3976.0800346579636</v>
      </c>
      <c r="Q10" s="50">
        <v>2292980.489111023</v>
      </c>
      <c r="R10" s="51">
        <v>-148618.03678834578</v>
      </c>
      <c r="S10" s="56">
        <v>-143638.03678834578</v>
      </c>
      <c r="T10" s="53">
        <v>1656461.3017447623</v>
      </c>
      <c r="U10" s="48"/>
      <c r="V10" s="48">
        <v>1656461.3017447623</v>
      </c>
      <c r="W10" s="48">
        <v>-27827.279380673775</v>
      </c>
      <c r="X10" s="49">
        <v>608278.72490418691</v>
      </c>
      <c r="Y10" s="49">
        <v>-413.18308139999863</v>
      </c>
      <c r="Z10" s="50">
        <v>2264740.0266489494</v>
      </c>
      <c r="AA10" s="51">
        <v>-28240.462462073658</v>
      </c>
      <c r="AB10" s="56">
        <v>-171878.49925041944</v>
      </c>
      <c r="AC10" s="53">
        <v>1632474.3151028981</v>
      </c>
      <c r="AD10" s="48"/>
      <c r="AE10" s="48">
        <v>1632474.3151028981</v>
      </c>
      <c r="AF10" s="48">
        <v>-23986.986641864292</v>
      </c>
      <c r="AG10" s="49">
        <v>608535.33701719041</v>
      </c>
      <c r="AH10" s="49">
        <v>256.6121130035026</v>
      </c>
      <c r="AI10" s="50">
        <v>2241009.6521200882</v>
      </c>
      <c r="AJ10" s="51">
        <v>-23730.374528861139</v>
      </c>
      <c r="AK10" s="56">
        <v>-195608.87377928058</v>
      </c>
      <c r="AL10" s="53">
        <v>1587604.7970903965</v>
      </c>
      <c r="AM10" s="48"/>
      <c r="AN10" s="48">
        <v>1587604.7970903965</v>
      </c>
      <c r="AO10" s="48">
        <v>-44869.518012501532</v>
      </c>
      <c r="AP10" s="49">
        <v>604406.52963927179</v>
      </c>
      <c r="AQ10" s="49">
        <v>-4128.8073779186234</v>
      </c>
      <c r="AR10" s="50">
        <v>2192011.3267296683</v>
      </c>
      <c r="AS10" s="51">
        <v>-48998.325390419923</v>
      </c>
      <c r="AT10" s="56">
        <v>-244607.1991697005</v>
      </c>
      <c r="AU10" s="53">
        <v>1550411.1743411296</v>
      </c>
      <c r="AV10" s="48"/>
      <c r="AW10" s="48">
        <v>1550411.1743411296</v>
      </c>
      <c r="AX10" s="48">
        <v>-37193.622749266913</v>
      </c>
      <c r="AY10" s="49">
        <v>601657.15702461742</v>
      </c>
      <c r="AZ10" s="49">
        <v>-2749.3726146543631</v>
      </c>
      <c r="BA10" s="50">
        <v>2152068.3313657469</v>
      </c>
      <c r="BB10" s="51">
        <v>-39942.995363921393</v>
      </c>
      <c r="BC10" s="56">
        <v>-284550.19453362189</v>
      </c>
      <c r="BD10" s="54">
        <v>-289530.19453362189</v>
      </c>
      <c r="BE10" s="55">
        <v>-0.11858222859426602</v>
      </c>
      <c r="BF10" s="54">
        <v>-140912.15774527611</v>
      </c>
      <c r="BG10" s="55">
        <v>-6.1453709883029596E-2</v>
      </c>
    </row>
    <row r="11" spans="1:66">
      <c r="A11" s="47" t="s">
        <v>10</v>
      </c>
      <c r="B11" s="48">
        <v>900801.90193351498</v>
      </c>
      <c r="C11" s="48">
        <v>55751</v>
      </c>
      <c r="D11" s="48">
        <v>956552.90193351498</v>
      </c>
      <c r="E11" s="48">
        <v>-83370.905920409001</v>
      </c>
      <c r="F11" s="49">
        <v>387485.522096231</v>
      </c>
      <c r="G11" s="49">
        <v>10540.776899211</v>
      </c>
      <c r="H11" s="50">
        <v>1344038.4240297461</v>
      </c>
      <c r="I11" s="51">
        <v>-72830.129021197994</v>
      </c>
      <c r="J11" s="52">
        <v>200936</v>
      </c>
      <c r="K11" s="53">
        <v>900990.03368994233</v>
      </c>
      <c r="L11" s="48"/>
      <c r="M11" s="48">
        <v>900990.03368994233</v>
      </c>
      <c r="N11" s="48">
        <v>-55562.868243572651</v>
      </c>
      <c r="O11" s="49">
        <v>395277.6701239103</v>
      </c>
      <c r="P11" s="49">
        <v>7792.1480276793009</v>
      </c>
      <c r="Q11" s="50">
        <v>1296267.7038138527</v>
      </c>
      <c r="R11" s="51">
        <v>-47770.720215893351</v>
      </c>
      <c r="S11" s="52">
        <v>153165.27978410665</v>
      </c>
      <c r="T11" s="53">
        <v>892853.67225877428</v>
      </c>
      <c r="U11" s="48"/>
      <c r="V11" s="48">
        <v>892853.67225877428</v>
      </c>
      <c r="W11" s="48">
        <v>-8136.3614311680431</v>
      </c>
      <c r="X11" s="49">
        <v>396406.14252435864</v>
      </c>
      <c r="Y11" s="49">
        <v>1128.4724004483433</v>
      </c>
      <c r="Z11" s="50">
        <v>1289259.8147831329</v>
      </c>
      <c r="AA11" s="51">
        <v>-7007.8890307198744</v>
      </c>
      <c r="AB11" s="52">
        <v>146157.39075338678</v>
      </c>
      <c r="AC11" s="53">
        <v>888809.83617865597</v>
      </c>
      <c r="AD11" s="48"/>
      <c r="AE11" s="48">
        <v>888809.83617865597</v>
      </c>
      <c r="AF11" s="48">
        <v>-4043.8360801183153</v>
      </c>
      <c r="AG11" s="49">
        <v>398348.5221869034</v>
      </c>
      <c r="AH11" s="49">
        <v>1942.3796625447576</v>
      </c>
      <c r="AI11" s="50">
        <v>1287158.3583655595</v>
      </c>
      <c r="AJ11" s="51">
        <v>-2101.4564175733831</v>
      </c>
      <c r="AK11" s="52">
        <v>144055.93433581339</v>
      </c>
      <c r="AL11" s="53">
        <v>876634.86045942781</v>
      </c>
      <c r="AM11" s="48"/>
      <c r="AN11" s="48">
        <v>876634.86045942781</v>
      </c>
      <c r="AO11" s="48">
        <v>-12174.975719228154</v>
      </c>
      <c r="AP11" s="49">
        <v>398627.11511911976</v>
      </c>
      <c r="AQ11" s="49">
        <v>278.59293221635744</v>
      </c>
      <c r="AR11" s="50">
        <v>1275261.9755785475</v>
      </c>
      <c r="AS11" s="51">
        <v>-11896.382787012029</v>
      </c>
      <c r="AT11" s="52">
        <v>132159.55154880136</v>
      </c>
      <c r="AU11" s="53">
        <v>862570.81643086136</v>
      </c>
      <c r="AV11" s="48"/>
      <c r="AW11" s="48">
        <v>862570.81643086136</v>
      </c>
      <c r="AX11" s="48">
        <v>-14064.044028566452</v>
      </c>
      <c r="AY11" s="49">
        <v>398464.14503637271</v>
      </c>
      <c r="AZ11" s="49">
        <v>-162.97008274705149</v>
      </c>
      <c r="BA11" s="50">
        <v>1261034.961467234</v>
      </c>
      <c r="BB11" s="51">
        <v>-14227.014111313503</v>
      </c>
      <c r="BC11" s="52">
        <v>117932.53743748786</v>
      </c>
      <c r="BD11" s="54">
        <v>-83003.462562512141</v>
      </c>
      <c r="BE11" s="55">
        <v>-6.1756763109233191E-2</v>
      </c>
      <c r="BF11" s="54">
        <v>-35232.74234661879</v>
      </c>
      <c r="BG11" s="55">
        <v>-2.7180143609963996E-2</v>
      </c>
    </row>
    <row r="12" spans="1:66">
      <c r="A12" s="47" t="s">
        <v>11</v>
      </c>
      <c r="B12" s="48">
        <v>1660281.25900509</v>
      </c>
      <c r="C12" s="48">
        <v>102756</v>
      </c>
      <c r="D12" s="48">
        <v>1763037.25900509</v>
      </c>
      <c r="E12" s="48">
        <v>-169091.393499</v>
      </c>
      <c r="F12" s="49">
        <v>569748.13569799403</v>
      </c>
      <c r="G12" s="49">
        <v>13987.004619129</v>
      </c>
      <c r="H12" s="50">
        <v>2332785.3947030841</v>
      </c>
      <c r="I12" s="51">
        <v>-155104.388879871</v>
      </c>
      <c r="J12" s="52">
        <v>157711</v>
      </c>
      <c r="K12" s="53">
        <v>1627531.9565883749</v>
      </c>
      <c r="L12" s="48"/>
      <c r="M12" s="48">
        <v>1627531.9565883749</v>
      </c>
      <c r="N12" s="48">
        <v>-135505.30241671507</v>
      </c>
      <c r="O12" s="49">
        <v>575571.87753618881</v>
      </c>
      <c r="P12" s="49">
        <v>5823.7418381947791</v>
      </c>
      <c r="Q12" s="50">
        <v>2203103.8341245637</v>
      </c>
      <c r="R12" s="51">
        <v>-129681.56057852041</v>
      </c>
      <c r="S12" s="52">
        <v>28029.43942147959</v>
      </c>
      <c r="T12" s="53">
        <v>1607938.1721176107</v>
      </c>
      <c r="U12" s="48"/>
      <c r="V12" s="48">
        <v>1607938.1721176107</v>
      </c>
      <c r="W12" s="48">
        <v>-19593.784470764222</v>
      </c>
      <c r="X12" s="49">
        <v>576631.33920997474</v>
      </c>
      <c r="Y12" s="49">
        <v>1059.4616737859324</v>
      </c>
      <c r="Z12" s="50">
        <v>2184569.5113275852</v>
      </c>
      <c r="AA12" s="51">
        <v>-18534.322796978522</v>
      </c>
      <c r="AB12" s="52">
        <v>9495.1166245010681</v>
      </c>
      <c r="AC12" s="53">
        <v>1602254.6649853415</v>
      </c>
      <c r="AD12" s="48"/>
      <c r="AE12" s="48">
        <v>1602254.6649853415</v>
      </c>
      <c r="AF12" s="48">
        <v>-5683.5071322692093</v>
      </c>
      <c r="AG12" s="49">
        <v>580454.02583417203</v>
      </c>
      <c r="AH12" s="49">
        <v>3822.6866241972893</v>
      </c>
      <c r="AI12" s="50">
        <v>2182708.6908195135</v>
      </c>
      <c r="AJ12" s="51">
        <v>-1860.8205080716871</v>
      </c>
      <c r="AK12" s="56">
        <v>7634.2961164293811</v>
      </c>
      <c r="AL12" s="53">
        <v>1624856.7962073889</v>
      </c>
      <c r="AM12" s="48"/>
      <c r="AN12" s="48">
        <v>1624856.7962073889</v>
      </c>
      <c r="AO12" s="48">
        <v>22602.131222047377</v>
      </c>
      <c r="AP12" s="49">
        <v>590141.23970915924</v>
      </c>
      <c r="AQ12" s="49">
        <v>9687.2138749872101</v>
      </c>
      <c r="AR12" s="50">
        <v>2214998.0359165482</v>
      </c>
      <c r="AS12" s="51">
        <v>32289.345097034704</v>
      </c>
      <c r="AT12" s="52">
        <v>39923.641213464085</v>
      </c>
      <c r="AU12" s="53">
        <v>1631919.7482630506</v>
      </c>
      <c r="AV12" s="48"/>
      <c r="AW12" s="48">
        <v>1631919.7482630506</v>
      </c>
      <c r="AX12" s="48">
        <v>7062.9520556617063</v>
      </c>
      <c r="AY12" s="49">
        <v>596774.98250489857</v>
      </c>
      <c r="AZ12" s="49">
        <v>6633.7427957393229</v>
      </c>
      <c r="BA12" s="50">
        <v>2228694.730767949</v>
      </c>
      <c r="BB12" s="51">
        <v>13696.694851400796</v>
      </c>
      <c r="BC12" s="52">
        <v>53620.336064864881</v>
      </c>
      <c r="BD12" s="54">
        <v>-104090.66393513512</v>
      </c>
      <c r="BE12" s="55">
        <v>-4.4620762874925203E-2</v>
      </c>
      <c r="BF12" s="54">
        <v>25590.896643385291</v>
      </c>
      <c r="BG12" s="55">
        <v>1.1615837731749134E-2</v>
      </c>
    </row>
    <row r="13" spans="1:66">
      <c r="A13" s="47" t="s">
        <v>12</v>
      </c>
      <c r="B13" s="48">
        <v>1325478.0073460001</v>
      </c>
      <c r="C13" s="48">
        <v>82035</v>
      </c>
      <c r="D13" s="48">
        <v>1407513.0073460001</v>
      </c>
      <c r="E13" s="48">
        <v>-116092.14197814</v>
      </c>
      <c r="F13" s="49">
        <v>493889.43656437797</v>
      </c>
      <c r="G13" s="49">
        <v>14995.302302975</v>
      </c>
      <c r="H13" s="50">
        <v>1901402.443910378</v>
      </c>
      <c r="I13" s="51">
        <v>-101096.839675165</v>
      </c>
      <c r="J13" s="52">
        <v>149809</v>
      </c>
      <c r="K13" s="53">
        <v>1294625.5016749566</v>
      </c>
      <c r="L13" s="48"/>
      <c r="M13" s="48">
        <v>1294625.5016749566</v>
      </c>
      <c r="N13" s="48">
        <v>-112887.50567104341</v>
      </c>
      <c r="O13" s="49">
        <v>498158.48574876698</v>
      </c>
      <c r="P13" s="49">
        <v>4269.0491843890049</v>
      </c>
      <c r="Q13" s="50">
        <v>1792783.9874237236</v>
      </c>
      <c r="R13" s="51">
        <v>-108618.45648665447</v>
      </c>
      <c r="S13" s="52">
        <v>41190.543513345532</v>
      </c>
      <c r="T13" s="53">
        <v>1281494.7412704327</v>
      </c>
      <c r="U13" s="48"/>
      <c r="V13" s="48">
        <v>1281494.7412704327</v>
      </c>
      <c r="W13" s="48">
        <v>-13130.760404523928</v>
      </c>
      <c r="X13" s="49">
        <v>499492.1273138593</v>
      </c>
      <c r="Y13" s="49">
        <v>1333.6415650923154</v>
      </c>
      <c r="Z13" s="50">
        <v>1780986.868584292</v>
      </c>
      <c r="AA13" s="51">
        <v>-11797.118839431554</v>
      </c>
      <c r="AB13" s="52">
        <v>29393.424673913978</v>
      </c>
      <c r="AC13" s="53">
        <v>1273634.5660491656</v>
      </c>
      <c r="AD13" s="48"/>
      <c r="AE13" s="48">
        <v>1273634.5660491656</v>
      </c>
      <c r="AF13" s="48">
        <v>-7860.1752212671563</v>
      </c>
      <c r="AG13" s="49">
        <v>501862.51613537467</v>
      </c>
      <c r="AH13" s="49">
        <v>2370.3888215153711</v>
      </c>
      <c r="AI13" s="50">
        <v>1775497.0821845401</v>
      </c>
      <c r="AJ13" s="51">
        <v>-5489.7863997519016</v>
      </c>
      <c r="AK13" s="52">
        <v>23903.638274162076</v>
      </c>
      <c r="AL13" s="53">
        <v>1256226.3486256369</v>
      </c>
      <c r="AM13" s="48"/>
      <c r="AN13" s="48">
        <v>1256226.3486256369</v>
      </c>
      <c r="AO13" s="48">
        <v>-17408.217423528666</v>
      </c>
      <c r="AP13" s="49">
        <v>502269.58826221159</v>
      </c>
      <c r="AQ13" s="49">
        <v>407.07212683692342</v>
      </c>
      <c r="AR13" s="50">
        <v>1758495.9368878484</v>
      </c>
      <c r="AS13" s="51">
        <v>-17001.145296691684</v>
      </c>
      <c r="AT13" s="52">
        <v>6902.4929774703924</v>
      </c>
      <c r="AU13" s="53">
        <v>1241630.3354094347</v>
      </c>
      <c r="AV13" s="48"/>
      <c r="AW13" s="48">
        <v>1241630.3354094347</v>
      </c>
      <c r="AX13" s="48">
        <v>-14596.013216202147</v>
      </c>
      <c r="AY13" s="49">
        <v>503199.57335906744</v>
      </c>
      <c r="AZ13" s="49">
        <v>929.98509685584577</v>
      </c>
      <c r="BA13" s="50">
        <v>1744829.9087685021</v>
      </c>
      <c r="BB13" s="51">
        <v>-13666.02811934636</v>
      </c>
      <c r="BC13" s="56">
        <v>-6763.5351418759674</v>
      </c>
      <c r="BD13" s="54">
        <v>-156572.53514187597</v>
      </c>
      <c r="BE13" s="55">
        <v>-8.2345815660083352E-2</v>
      </c>
      <c r="BF13" s="54">
        <v>-47954.0786552215</v>
      </c>
      <c r="BG13" s="55">
        <v>-2.6748386303992337E-2</v>
      </c>
    </row>
    <row r="14" spans="1:66">
      <c r="A14" s="47" t="s">
        <v>13</v>
      </c>
      <c r="B14" s="48">
        <v>1119601.3238289901</v>
      </c>
      <c r="C14" s="48">
        <v>69293</v>
      </c>
      <c r="D14" s="48">
        <v>1188894.3238289901</v>
      </c>
      <c r="E14" s="48">
        <v>-107366.63958831</v>
      </c>
      <c r="F14" s="49">
        <v>387060.32912373001</v>
      </c>
      <c r="G14" s="49">
        <v>10556.900965807001</v>
      </c>
      <c r="H14" s="50">
        <v>1575954.6529527202</v>
      </c>
      <c r="I14" s="51">
        <v>-96809.738622502904</v>
      </c>
      <c r="J14" s="52">
        <v>238360</v>
      </c>
      <c r="K14" s="53">
        <v>1110930.9387912662</v>
      </c>
      <c r="L14" s="48"/>
      <c r="M14" s="48">
        <v>1110930.9387912662</v>
      </c>
      <c r="N14" s="48">
        <v>-77963.385037723929</v>
      </c>
      <c r="O14" s="49">
        <v>393668.44935861439</v>
      </c>
      <c r="P14" s="49">
        <v>6608.1202348843799</v>
      </c>
      <c r="Q14" s="50">
        <v>1504599.3881498806</v>
      </c>
      <c r="R14" s="51">
        <v>-71355.264802839607</v>
      </c>
      <c r="S14" s="52">
        <v>167004.73519716039</v>
      </c>
      <c r="T14" s="53">
        <v>1091194.8882810208</v>
      </c>
      <c r="U14" s="48"/>
      <c r="V14" s="48">
        <v>1091194.8882810208</v>
      </c>
      <c r="W14" s="48">
        <v>-19736.050510245375</v>
      </c>
      <c r="X14" s="49">
        <v>393119.68173455796</v>
      </c>
      <c r="Y14" s="49">
        <v>-548.7676240564324</v>
      </c>
      <c r="Z14" s="50">
        <v>1484314.5700155788</v>
      </c>
      <c r="AA14" s="51">
        <v>-20284.818134301808</v>
      </c>
      <c r="AB14" s="52">
        <v>146719.91706285859</v>
      </c>
      <c r="AC14" s="53">
        <v>1068175.7508841893</v>
      </c>
      <c r="AD14" s="48"/>
      <c r="AE14" s="48">
        <v>1068175.7508841893</v>
      </c>
      <c r="AF14" s="48">
        <v>-23019.137396831531</v>
      </c>
      <c r="AG14" s="49">
        <v>391823.27686955768</v>
      </c>
      <c r="AH14" s="49">
        <v>-1296.4048650002806</v>
      </c>
      <c r="AI14" s="50">
        <v>1459999.0277537471</v>
      </c>
      <c r="AJ14" s="51">
        <v>-24315.542261831695</v>
      </c>
      <c r="AK14" s="52">
        <v>122404.37480102689</v>
      </c>
      <c r="AL14" s="53">
        <v>1044199.7107405337</v>
      </c>
      <c r="AM14" s="48"/>
      <c r="AN14" s="48">
        <v>1044199.7107405337</v>
      </c>
      <c r="AO14" s="48">
        <v>-23976.040143655613</v>
      </c>
      <c r="AP14" s="49">
        <v>390231.58944106917</v>
      </c>
      <c r="AQ14" s="49">
        <v>-1591.6874284885125</v>
      </c>
      <c r="AR14" s="50">
        <v>1434431.3001816028</v>
      </c>
      <c r="AS14" s="51">
        <v>-25567.727572144242</v>
      </c>
      <c r="AT14" s="52">
        <v>96836.647228882648</v>
      </c>
      <c r="AU14" s="53">
        <v>1020706.3868129811</v>
      </c>
      <c r="AV14" s="48"/>
      <c r="AW14" s="48">
        <v>1020706.3868129811</v>
      </c>
      <c r="AX14" s="48">
        <v>-23493.323927552556</v>
      </c>
      <c r="AY14" s="49">
        <v>388626.2683857705</v>
      </c>
      <c r="AZ14" s="49">
        <v>-1605.3210552986711</v>
      </c>
      <c r="BA14" s="50">
        <v>1409332.6551987515</v>
      </c>
      <c r="BB14" s="51">
        <v>-25098.644982851343</v>
      </c>
      <c r="BC14" s="52">
        <v>71738.002246031305</v>
      </c>
      <c r="BD14" s="54">
        <v>-166621.9977539687</v>
      </c>
      <c r="BE14" s="55">
        <v>-0.10572766001977563</v>
      </c>
      <c r="BF14" s="54">
        <v>-95266.732951129088</v>
      </c>
      <c r="BG14" s="55">
        <v>-6.3317008966933791E-2</v>
      </c>
    </row>
    <row r="15" spans="1:66">
      <c r="A15" s="47" t="s">
        <v>14</v>
      </c>
      <c r="B15" s="48">
        <v>856007.32430747396</v>
      </c>
      <c r="C15" s="48">
        <v>52979</v>
      </c>
      <c r="D15" s="48">
        <v>908986.32430747396</v>
      </c>
      <c r="E15" s="48">
        <v>-74066.563518643001</v>
      </c>
      <c r="F15" s="49">
        <v>237747.774904263</v>
      </c>
      <c r="G15" s="49">
        <v>8158.8935925870001</v>
      </c>
      <c r="H15" s="50">
        <v>1146734.099211737</v>
      </c>
      <c r="I15" s="51">
        <v>-65907.669926055998</v>
      </c>
      <c r="J15" s="52">
        <v>297149</v>
      </c>
      <c r="K15" s="53">
        <v>834716.88429268228</v>
      </c>
      <c r="L15" s="48"/>
      <c r="M15" s="48">
        <v>834716.88429268228</v>
      </c>
      <c r="N15" s="48">
        <v>-74269.440014791675</v>
      </c>
      <c r="O15" s="49">
        <v>239098.96342127485</v>
      </c>
      <c r="P15" s="49">
        <v>1351.1885170118476</v>
      </c>
      <c r="Q15" s="50">
        <v>1073815.8477139571</v>
      </c>
      <c r="R15" s="51">
        <v>-72918.251497779973</v>
      </c>
      <c r="S15" s="52">
        <v>224230.74850222003</v>
      </c>
      <c r="T15" s="53">
        <v>817479.18421275495</v>
      </c>
      <c r="U15" s="48"/>
      <c r="V15" s="48">
        <v>817479.18421275495</v>
      </c>
      <c r="W15" s="48">
        <v>-17237.700079927337</v>
      </c>
      <c r="X15" s="49">
        <v>238205.04452042308</v>
      </c>
      <c r="Y15" s="49">
        <v>-893.91890085177147</v>
      </c>
      <c r="Z15" s="50">
        <v>1055684.228733178</v>
      </c>
      <c r="AA15" s="51">
        <v>-18131.61898077908</v>
      </c>
      <c r="AB15" s="52">
        <v>206099.12952144095</v>
      </c>
      <c r="AC15" s="53">
        <v>796604.83279530529</v>
      </c>
      <c r="AD15" s="48"/>
      <c r="AE15" s="48">
        <v>796604.83279530529</v>
      </c>
      <c r="AF15" s="48">
        <v>-20874.351417449652</v>
      </c>
      <c r="AG15" s="49">
        <v>236496.94501784188</v>
      </c>
      <c r="AH15" s="49">
        <v>-1708.0995025812008</v>
      </c>
      <c r="AI15" s="50">
        <v>1033101.7778131472</v>
      </c>
      <c r="AJ15" s="51">
        <v>-22582.450920030824</v>
      </c>
      <c r="AK15" s="52">
        <v>183516.67860141012</v>
      </c>
      <c r="AL15" s="53">
        <v>784802.79547395394</v>
      </c>
      <c r="AM15" s="48"/>
      <c r="AN15" s="48">
        <v>784802.79547395394</v>
      </c>
      <c r="AO15" s="48">
        <v>-11802.037321351352</v>
      </c>
      <c r="AP15" s="49">
        <v>236563.12377240026</v>
      </c>
      <c r="AQ15" s="49">
        <v>66.178754558379296</v>
      </c>
      <c r="AR15" s="50">
        <v>1021365.9192463541</v>
      </c>
      <c r="AS15" s="51">
        <v>-11735.858566793031</v>
      </c>
      <c r="AT15" s="52">
        <v>171780.82003461709</v>
      </c>
      <c r="AU15" s="53">
        <v>773551.43216542993</v>
      </c>
      <c r="AV15" s="48"/>
      <c r="AW15" s="48">
        <v>773551.43216542993</v>
      </c>
      <c r="AX15" s="48">
        <v>-11251.363308524014</v>
      </c>
      <c r="AY15" s="49">
        <v>236697.62315274798</v>
      </c>
      <c r="AZ15" s="49">
        <v>134.4993803477264</v>
      </c>
      <c r="BA15" s="50">
        <v>1010249.0553181779</v>
      </c>
      <c r="BB15" s="51">
        <v>-11116.86392817623</v>
      </c>
      <c r="BC15" s="52">
        <v>160663.95610644086</v>
      </c>
      <c r="BD15" s="54">
        <v>-136485.04389355914</v>
      </c>
      <c r="BE15" s="55">
        <v>-0.11902065525685397</v>
      </c>
      <c r="BF15" s="54">
        <v>-63566.792395779165</v>
      </c>
      <c r="BG15" s="55">
        <v>-5.9197107708091938E-2</v>
      </c>
    </row>
    <row r="16" spans="1:66" s="59" customFormat="1">
      <c r="A16" s="47" t="s">
        <v>15</v>
      </c>
      <c r="B16" s="48">
        <v>1599278.8163727201</v>
      </c>
      <c r="C16" s="48">
        <v>113981</v>
      </c>
      <c r="D16" s="48">
        <v>1713259.8163727201</v>
      </c>
      <c r="E16" s="48">
        <v>-92010.260348490003</v>
      </c>
      <c r="F16" s="49">
        <v>728201.99852196698</v>
      </c>
      <c r="G16" s="49">
        <v>28508.218245687</v>
      </c>
      <c r="H16" s="50">
        <v>2441461.8148946869</v>
      </c>
      <c r="I16" s="51">
        <v>-63502.042102803003</v>
      </c>
      <c r="J16" s="52">
        <v>252168</v>
      </c>
      <c r="K16" s="53">
        <v>1596380.0856343419</v>
      </c>
      <c r="L16" s="48"/>
      <c r="M16" s="48">
        <f>+K16</f>
        <v>1596380.0856343419</v>
      </c>
      <c r="N16" s="48">
        <f>+M16-D16</f>
        <v>-116879.73073837813</v>
      </c>
      <c r="O16" s="49">
        <v>741963.33242120896</v>
      </c>
      <c r="P16" s="49">
        <v>13761.333899241999</v>
      </c>
      <c r="Q16" s="50">
        <f>+M16+O16</f>
        <v>2338343.4180555511</v>
      </c>
      <c r="R16" s="51">
        <f>+Q16-H16</f>
        <v>-103118.39683913579</v>
      </c>
      <c r="S16" s="52">
        <f>+J16+R16</f>
        <v>149049.60316086421</v>
      </c>
      <c r="T16" s="53">
        <v>1608209.22220776</v>
      </c>
      <c r="U16" s="48"/>
      <c r="V16" s="48">
        <f>+T16+U16</f>
        <v>1608209.22220776</v>
      </c>
      <c r="W16" s="48">
        <f>+V16-M16</f>
        <v>11829.136573418044</v>
      </c>
      <c r="X16" s="49">
        <v>749210.24308318063</v>
      </c>
      <c r="Y16" s="49">
        <f>X16-O16</f>
        <v>7246.9106619716622</v>
      </c>
      <c r="Z16" s="50">
        <f>+V16+X16</f>
        <v>2357419.4652909404</v>
      </c>
      <c r="AA16" s="51">
        <f>+Z16-Q16</f>
        <v>19076.04723538924</v>
      </c>
      <c r="AB16" s="52">
        <f>+S16+AA16</f>
        <v>168125.65039625345</v>
      </c>
      <c r="AC16" s="57">
        <v>1623478.4358963287</v>
      </c>
      <c r="AD16" s="48"/>
      <c r="AE16" s="48">
        <f>+AC16+AD16</f>
        <v>1623478.4358963287</v>
      </c>
      <c r="AF16" s="58">
        <f>+AE16-V16</f>
        <v>15269.213688568678</v>
      </c>
      <c r="AG16" s="49">
        <v>757287.91435970902</v>
      </c>
      <c r="AH16" s="49">
        <v>8077.6712765283883</v>
      </c>
      <c r="AI16" s="50">
        <f>+AE16+AG16</f>
        <v>2380766.3502560379</v>
      </c>
      <c r="AJ16" s="51">
        <f>+AI16-Z16</f>
        <v>23346.884965097532</v>
      </c>
      <c r="AK16" s="52">
        <f>+AB16+AJ16</f>
        <v>191472.53536135098</v>
      </c>
      <c r="AL16" s="53">
        <v>1607869.3915201859</v>
      </c>
      <c r="AM16" s="48"/>
      <c r="AN16" s="48">
        <f>+AL16+AM16</f>
        <v>1607869.3915201859</v>
      </c>
      <c r="AO16" s="48">
        <f>+AN16-AE16</f>
        <v>-15609.044376142789</v>
      </c>
      <c r="AP16" s="49">
        <v>759163.60385542759</v>
      </c>
      <c r="AQ16" s="49">
        <v>1875.68949571857</v>
      </c>
      <c r="AR16" s="50">
        <f>+AN16+AP16</f>
        <v>2367032.9953756137</v>
      </c>
      <c r="AS16" s="51">
        <f>+AR16-AI16</f>
        <v>-13733.354880424216</v>
      </c>
      <c r="AT16" s="52">
        <f>+AK16+AS16</f>
        <v>177739.18048092676</v>
      </c>
      <c r="AU16" s="57">
        <v>1607993.5965732569</v>
      </c>
      <c r="AV16" s="48"/>
      <c r="AW16" s="48">
        <f>+AV16+AU16</f>
        <v>1607993.5965732569</v>
      </c>
      <c r="AX16" s="48">
        <f>+AW16-AN16</f>
        <v>124.20505307102576</v>
      </c>
      <c r="AY16" s="49">
        <v>764290.85376497207</v>
      </c>
      <c r="AZ16" s="49">
        <v>5127.24990954448</v>
      </c>
      <c r="BA16" s="50">
        <f>+AW16+AY16</f>
        <v>2372284.4503382291</v>
      </c>
      <c r="BB16" s="51">
        <f>+BA16-AR16</f>
        <v>5251.4549626153894</v>
      </c>
      <c r="BC16" s="52">
        <f>+AT16+BB16</f>
        <v>182990.63544354215</v>
      </c>
      <c r="BD16" s="54">
        <f>+BA16-H16</f>
        <v>-69177.364556457847</v>
      </c>
      <c r="BE16" s="55">
        <f>+BA16/H16-1</f>
        <v>-2.8334403648840989E-2</v>
      </c>
      <c r="BF16" s="54">
        <f>+BA16-Q16</f>
        <v>33941.032282677945</v>
      </c>
      <c r="BG16" s="55">
        <f>+BA16/Q16-1</f>
        <v>1.4514990407568762E-2</v>
      </c>
      <c r="BH16" s="28"/>
      <c r="BI16" s="28"/>
      <c r="BJ16" s="28"/>
      <c r="BK16" s="28"/>
      <c r="BL16" s="28"/>
      <c r="BM16" s="28"/>
      <c r="BN16" s="28"/>
    </row>
    <row r="17" spans="1:59">
      <c r="A17" s="47" t="s">
        <v>16</v>
      </c>
      <c r="B17" s="48">
        <v>3326893.4886446199</v>
      </c>
      <c r="C17" s="48">
        <v>205904</v>
      </c>
      <c r="D17" s="48">
        <v>3532797.4886446199</v>
      </c>
      <c r="E17" s="48">
        <v>-255745.00140537001</v>
      </c>
      <c r="F17" s="49">
        <v>1895235.9328269199</v>
      </c>
      <c r="G17" s="49">
        <v>54508.999963080001</v>
      </c>
      <c r="H17" s="50">
        <v>5428033.4214715399</v>
      </c>
      <c r="I17" s="51">
        <v>-201236.00144229</v>
      </c>
      <c r="J17" s="52">
        <v>492064</v>
      </c>
      <c r="K17" s="53">
        <v>3315764.5464324583</v>
      </c>
      <c r="L17" s="48"/>
      <c r="M17" s="48">
        <v>3315764.5464324583</v>
      </c>
      <c r="N17" s="48">
        <v>-217032.94221216161</v>
      </c>
      <c r="O17" s="49">
        <v>1928417.6073711924</v>
      </c>
      <c r="P17" s="49">
        <v>33181.674544272479</v>
      </c>
      <c r="Q17" s="50">
        <v>5244182.1538036503</v>
      </c>
      <c r="R17" s="51">
        <v>-183851.2676678896</v>
      </c>
      <c r="S17" s="52">
        <v>308212.7323321104</v>
      </c>
      <c r="T17" s="53">
        <v>3314771.2348045642</v>
      </c>
      <c r="U17" s="48"/>
      <c r="V17" s="48">
        <v>3314771.2348045642</v>
      </c>
      <c r="W17" s="48">
        <v>-993.31162789417431</v>
      </c>
      <c r="X17" s="49">
        <v>1938323.444622925</v>
      </c>
      <c r="Y17" s="49">
        <v>9905.8372517325915</v>
      </c>
      <c r="Z17" s="50">
        <v>5253094.6794274896</v>
      </c>
      <c r="AA17" s="51">
        <v>8912.5256238393486</v>
      </c>
      <c r="AB17" s="52">
        <v>317125.25795594975</v>
      </c>
      <c r="AC17" s="53">
        <v>3297284.1996032172</v>
      </c>
      <c r="AD17" s="48"/>
      <c r="AE17" s="48">
        <v>3297284.1996032172</v>
      </c>
      <c r="AF17" s="48">
        <v>-17487.035201346967</v>
      </c>
      <c r="AG17" s="49">
        <v>1945003.117100233</v>
      </c>
      <c r="AH17" s="49">
        <v>6679.6724773079623</v>
      </c>
      <c r="AI17" s="50">
        <v>5242287.3167034499</v>
      </c>
      <c r="AJ17" s="51">
        <v>-10807.362724039704</v>
      </c>
      <c r="AK17" s="52">
        <v>306317.89523191005</v>
      </c>
      <c r="AL17" s="53">
        <v>3268558.7277752105</v>
      </c>
      <c r="AM17" s="48"/>
      <c r="AN17" s="48">
        <v>3268558.7277752105</v>
      </c>
      <c r="AO17" s="48">
        <v>-28725.471828006674</v>
      </c>
      <c r="AP17" s="49">
        <v>1949400.1583971467</v>
      </c>
      <c r="AQ17" s="49">
        <v>4397.0412969137542</v>
      </c>
      <c r="AR17" s="50">
        <v>5217958.886172357</v>
      </c>
      <c r="AS17" s="51">
        <v>-24328.430531092919</v>
      </c>
      <c r="AT17" s="52">
        <v>281989.46470081713</v>
      </c>
      <c r="AU17" s="53">
        <v>3242864.977079866</v>
      </c>
      <c r="AV17" s="48"/>
      <c r="AW17" s="48">
        <v>3242864.977079866</v>
      </c>
      <c r="AX17" s="48">
        <v>-25693.750695344526</v>
      </c>
      <c r="AY17" s="49">
        <v>1954372.7648356357</v>
      </c>
      <c r="AZ17" s="49">
        <v>4972.6064384889323</v>
      </c>
      <c r="BA17" s="50">
        <v>5197237.7419155017</v>
      </c>
      <c r="BB17" s="51">
        <v>-20721.144256855361</v>
      </c>
      <c r="BC17" s="52">
        <v>261268.32044396177</v>
      </c>
      <c r="BD17" s="54">
        <v>-230795.67955603823</v>
      </c>
      <c r="BE17" s="55">
        <v>-4.251920753528992E-2</v>
      </c>
      <c r="BF17" s="54">
        <v>-46944.411888148636</v>
      </c>
      <c r="BG17" s="55">
        <v>-8.951712681089739E-3</v>
      </c>
    </row>
    <row r="18" spans="1:59">
      <c r="A18" s="47" t="s">
        <v>17</v>
      </c>
      <c r="B18" s="48">
        <v>2490200.8781725098</v>
      </c>
      <c r="C18" s="48">
        <v>154121</v>
      </c>
      <c r="D18" s="48">
        <v>2644321.8781725098</v>
      </c>
      <c r="E18" s="48">
        <v>-195776</v>
      </c>
      <c r="F18" s="49">
        <v>1175419.1332672799</v>
      </c>
      <c r="G18" s="49">
        <v>36838</v>
      </c>
      <c r="H18" s="50">
        <v>3819741.01143979</v>
      </c>
      <c r="I18" s="51">
        <v>-158938</v>
      </c>
      <c r="J18" s="52">
        <v>242110</v>
      </c>
      <c r="K18" s="53">
        <v>2432776.6695295549</v>
      </c>
      <c r="L18" s="48"/>
      <c r="M18" s="48">
        <v>2432776.6695295549</v>
      </c>
      <c r="N18" s="48">
        <v>-211545.20864295494</v>
      </c>
      <c r="O18" s="49">
        <v>1187011.1491313507</v>
      </c>
      <c r="P18" s="49">
        <v>11592.015864070738</v>
      </c>
      <c r="Q18" s="50">
        <v>3619787.8186609056</v>
      </c>
      <c r="R18" s="51">
        <v>-199953.19277888443</v>
      </c>
      <c r="S18" s="52">
        <v>42156.807221115567</v>
      </c>
      <c r="T18" s="53">
        <v>2385068.7059034389</v>
      </c>
      <c r="U18" s="48"/>
      <c r="V18" s="48">
        <v>2385068.7059034389</v>
      </c>
      <c r="W18" s="48">
        <v>-47707.963626116049</v>
      </c>
      <c r="X18" s="49">
        <v>1184911.9169716316</v>
      </c>
      <c r="Y18" s="49">
        <v>-2099.2321597191039</v>
      </c>
      <c r="Z18" s="50">
        <v>3569980.6228750702</v>
      </c>
      <c r="AA18" s="51">
        <v>-49807.195785835385</v>
      </c>
      <c r="AB18" s="56">
        <v>-7650.3885647198185</v>
      </c>
      <c r="AC18" s="53">
        <v>2348623.9007321848</v>
      </c>
      <c r="AD18" s="48"/>
      <c r="AE18" s="48">
        <v>2348623.9007321848</v>
      </c>
      <c r="AF18" s="48">
        <v>-36444.805171254091</v>
      </c>
      <c r="AG18" s="49">
        <v>1184894.2222656482</v>
      </c>
      <c r="AH18" s="49">
        <v>-17.694705983391032</v>
      </c>
      <c r="AI18" s="50">
        <v>3533518.122997833</v>
      </c>
      <c r="AJ18" s="51">
        <v>-36462.499877237249</v>
      </c>
      <c r="AK18" s="56">
        <v>-44112.888441957068</v>
      </c>
      <c r="AL18" s="53">
        <v>2306245.513369442</v>
      </c>
      <c r="AM18" s="48"/>
      <c r="AN18" s="48">
        <v>2306245.513369442</v>
      </c>
      <c r="AO18" s="48">
        <v>-42378.387362742797</v>
      </c>
      <c r="AP18" s="49">
        <v>1183526.0225646228</v>
      </c>
      <c r="AQ18" s="49">
        <v>-1368.1997010253835</v>
      </c>
      <c r="AR18" s="50">
        <v>3489771.5359340645</v>
      </c>
      <c r="AS18" s="51">
        <v>-43746.587063768413</v>
      </c>
      <c r="AT18" s="56">
        <v>-87859.475505725481</v>
      </c>
      <c r="AU18" s="53">
        <v>2283603.7166330297</v>
      </c>
      <c r="AV18" s="48"/>
      <c r="AW18" s="48">
        <v>2283603.7166330297</v>
      </c>
      <c r="AX18" s="48">
        <v>-22641.796736412216</v>
      </c>
      <c r="AY18" s="49">
        <v>1186103.0271464575</v>
      </c>
      <c r="AZ18" s="49">
        <v>2577.0045818346553</v>
      </c>
      <c r="BA18" s="50">
        <v>3469706.743779487</v>
      </c>
      <c r="BB18" s="51">
        <v>-20064.792154577561</v>
      </c>
      <c r="BC18" s="56">
        <v>-107924.26766030304</v>
      </c>
      <c r="BD18" s="54">
        <v>-350034.26766030304</v>
      </c>
      <c r="BE18" s="55">
        <v>-9.1638220133768503E-2</v>
      </c>
      <c r="BF18" s="54">
        <v>-150081.07488141861</v>
      </c>
      <c r="BG18" s="55">
        <v>-4.1461290661213172E-2</v>
      </c>
    </row>
    <row r="19" spans="1:59">
      <c r="A19" s="47" t="s">
        <v>18</v>
      </c>
      <c r="B19" s="48">
        <v>821610.65476063895</v>
      </c>
      <c r="C19" s="48">
        <v>50850</v>
      </c>
      <c r="D19" s="48">
        <v>872460.65476063895</v>
      </c>
      <c r="E19" s="48">
        <v>-92869.369288120099</v>
      </c>
      <c r="F19" s="49">
        <v>278595.04889103997</v>
      </c>
      <c r="G19" s="49">
        <v>5381.0684186109602</v>
      </c>
      <c r="H19" s="50">
        <v>1151055.703651679</v>
      </c>
      <c r="I19" s="51">
        <v>-87488.300869509098</v>
      </c>
      <c r="J19" s="52">
        <v>173827</v>
      </c>
      <c r="K19" s="53">
        <v>791787.03770225635</v>
      </c>
      <c r="L19" s="48"/>
      <c r="M19" s="48">
        <v>791787.03770225635</v>
      </c>
      <c r="N19" s="48">
        <v>-80673.617058382602</v>
      </c>
      <c r="O19" s="49">
        <v>278749.08219697222</v>
      </c>
      <c r="P19" s="49">
        <v>154.03330593224382</v>
      </c>
      <c r="Q19" s="50">
        <v>1070536.1198992287</v>
      </c>
      <c r="R19" s="51">
        <v>-80519.5837524503</v>
      </c>
      <c r="S19" s="52">
        <v>93307.4162475497</v>
      </c>
      <c r="T19" s="53">
        <v>765004.36441191076</v>
      </c>
      <c r="U19" s="48"/>
      <c r="V19" s="48">
        <v>765004.36441191076</v>
      </c>
      <c r="W19" s="48">
        <v>-26782.673290345585</v>
      </c>
      <c r="X19" s="49">
        <v>275815.45616990735</v>
      </c>
      <c r="Y19" s="49">
        <v>-2933.6260270648636</v>
      </c>
      <c r="Z19" s="50">
        <v>1040819.8205818181</v>
      </c>
      <c r="AA19" s="51">
        <v>-29716.299317410565</v>
      </c>
      <c r="AB19" s="52">
        <v>63591.116930139135</v>
      </c>
      <c r="AC19" s="53">
        <v>737565.37914118124</v>
      </c>
      <c r="AD19" s="48"/>
      <c r="AE19" s="48">
        <v>737565.37914118124</v>
      </c>
      <c r="AF19" s="48">
        <v>-27438.985270729521</v>
      </c>
      <c r="AG19" s="49">
        <v>272612.0911750425</v>
      </c>
      <c r="AH19" s="49">
        <v>-3203.3649948648526</v>
      </c>
      <c r="AI19" s="50">
        <v>1010177.4703162238</v>
      </c>
      <c r="AJ19" s="51">
        <v>-30642.350265594316</v>
      </c>
      <c r="AK19" s="52">
        <v>32948.766664544819</v>
      </c>
      <c r="AL19" s="53">
        <v>724378.93099534791</v>
      </c>
      <c r="AM19" s="48"/>
      <c r="AN19" s="48">
        <v>724378.93099534791</v>
      </c>
      <c r="AO19" s="48">
        <v>-13186.448145833332</v>
      </c>
      <c r="AP19" s="49">
        <v>272207.59843120817</v>
      </c>
      <c r="AQ19" s="49">
        <v>-404.4927438343293</v>
      </c>
      <c r="AR19" s="50">
        <v>996586.52942655608</v>
      </c>
      <c r="AS19" s="51">
        <v>-13590.94088966772</v>
      </c>
      <c r="AT19" s="52">
        <v>19357.825774877099</v>
      </c>
      <c r="AU19" s="53">
        <v>706645.46521236794</v>
      </c>
      <c r="AV19" s="48"/>
      <c r="AW19" s="48">
        <v>706645.46521236794</v>
      </c>
      <c r="AX19" s="48">
        <v>-17733.465782979969</v>
      </c>
      <c r="AY19" s="49">
        <v>270793.39172808605</v>
      </c>
      <c r="AZ19" s="49">
        <v>-1414.2067031221231</v>
      </c>
      <c r="BA19" s="50">
        <v>977438.85694045399</v>
      </c>
      <c r="BB19" s="51">
        <v>-19147.672486102092</v>
      </c>
      <c r="BC19" s="52">
        <v>210.15328877500724</v>
      </c>
      <c r="BD19" s="54">
        <v>-173616.84671122499</v>
      </c>
      <c r="BE19" s="55">
        <v>-0.15083270615004327</v>
      </c>
      <c r="BF19" s="54">
        <v>-93097.262958774692</v>
      </c>
      <c r="BG19" s="55">
        <v>-8.6963215185619419E-2</v>
      </c>
    </row>
    <row r="20" spans="1:59">
      <c r="A20" s="47" t="s">
        <v>19</v>
      </c>
      <c r="B20" s="48">
        <v>1691388.7613610399</v>
      </c>
      <c r="C20" s="48">
        <v>104681</v>
      </c>
      <c r="D20" s="48">
        <v>1796069.7613610399</v>
      </c>
      <c r="E20" s="48">
        <v>-160066.31272995999</v>
      </c>
      <c r="F20" s="49">
        <v>525326.35613104003</v>
      </c>
      <c r="G20" s="49">
        <v>15067.95543385</v>
      </c>
      <c r="H20" s="50">
        <v>2321396.1174920797</v>
      </c>
      <c r="I20" s="51">
        <v>-144998.35729611001</v>
      </c>
      <c r="J20" s="52">
        <v>639552</v>
      </c>
      <c r="K20" s="53">
        <v>1639905.9885143528</v>
      </c>
      <c r="L20" s="48"/>
      <c r="M20" s="48">
        <v>1639905.9885143528</v>
      </c>
      <c r="N20" s="48">
        <v>-156163.77284668712</v>
      </c>
      <c r="O20" s="49">
        <v>526920.36663828394</v>
      </c>
      <c r="P20" s="49">
        <v>1594.0105072439183</v>
      </c>
      <c r="Q20" s="50">
        <v>2166826.3551526368</v>
      </c>
      <c r="R20" s="51">
        <v>-154569.76233944297</v>
      </c>
      <c r="S20" s="52">
        <v>484982.23766055703</v>
      </c>
      <c r="T20" s="53">
        <v>1603357.6281288068</v>
      </c>
      <c r="U20" s="48"/>
      <c r="V20" s="48">
        <v>1603357.6281288068</v>
      </c>
      <c r="W20" s="48">
        <v>-36548.360385545995</v>
      </c>
      <c r="X20" s="49">
        <v>524627.76324769133</v>
      </c>
      <c r="Y20" s="49">
        <v>-2292.6033905926161</v>
      </c>
      <c r="Z20" s="50">
        <v>2127985.3913764982</v>
      </c>
      <c r="AA20" s="51">
        <v>-38840.963776138611</v>
      </c>
      <c r="AB20" s="52">
        <v>446141.27388441842</v>
      </c>
      <c r="AC20" s="53">
        <v>1566979.2563738362</v>
      </c>
      <c r="AD20" s="48"/>
      <c r="AE20" s="48">
        <v>1566979.2563738362</v>
      </c>
      <c r="AF20" s="48">
        <v>-36378.371754970634</v>
      </c>
      <c r="AG20" s="49">
        <v>522204.12629589933</v>
      </c>
      <c r="AH20" s="49">
        <v>-2423.6369517919957</v>
      </c>
      <c r="AI20" s="50">
        <v>2089183.3826697355</v>
      </c>
      <c r="AJ20" s="51">
        <v>-38802.008706762688</v>
      </c>
      <c r="AK20" s="52">
        <v>407339.26517765573</v>
      </c>
      <c r="AL20" s="53">
        <v>1547138.4108861827</v>
      </c>
      <c r="AM20" s="48"/>
      <c r="AN20" s="48">
        <v>1547138.4108861827</v>
      </c>
      <c r="AO20" s="48">
        <v>-19840.845487653511</v>
      </c>
      <c r="AP20" s="49">
        <v>523030.05942498817</v>
      </c>
      <c r="AQ20" s="49">
        <v>825.93312908883672</v>
      </c>
      <c r="AR20" s="50">
        <v>2070168.4703111709</v>
      </c>
      <c r="AS20" s="51">
        <v>-19014.912358564558</v>
      </c>
      <c r="AT20" s="52">
        <v>388324.35281909117</v>
      </c>
      <c r="AU20" s="53">
        <v>1521348.5690304064</v>
      </c>
      <c r="AV20" s="48"/>
      <c r="AW20" s="48">
        <v>1521348.5690304064</v>
      </c>
      <c r="AX20" s="48">
        <v>-25789.841855776263</v>
      </c>
      <c r="AY20" s="49">
        <v>522539.63342675008</v>
      </c>
      <c r="AZ20" s="49">
        <v>-490.42599823808996</v>
      </c>
      <c r="BA20" s="50">
        <v>2043888.2024571565</v>
      </c>
      <c r="BB20" s="51">
        <v>-26280.267854014412</v>
      </c>
      <c r="BC20" s="52">
        <v>362044.08496507676</v>
      </c>
      <c r="BD20" s="54">
        <v>-277507.91503492324</v>
      </c>
      <c r="BE20" s="55">
        <v>-0.11954354232948787</v>
      </c>
      <c r="BF20" s="54">
        <v>-122938.15269548027</v>
      </c>
      <c r="BG20" s="55">
        <v>-5.6736504244162281E-2</v>
      </c>
    </row>
    <row r="21" spans="1:59">
      <c r="A21" s="47" t="s">
        <v>20</v>
      </c>
      <c r="B21" s="48">
        <v>1375149.06252425</v>
      </c>
      <c r="C21" s="48">
        <v>85109</v>
      </c>
      <c r="D21" s="48">
        <v>1460258.06252425</v>
      </c>
      <c r="E21" s="48">
        <v>-102982.44903831001</v>
      </c>
      <c r="F21" s="49">
        <v>735763.93083802797</v>
      </c>
      <c r="G21" s="49">
        <v>22946.725345921001</v>
      </c>
      <c r="H21" s="50">
        <v>2196021.9933622777</v>
      </c>
      <c r="I21" s="51">
        <v>-80035.723692389001</v>
      </c>
      <c r="J21" s="56">
        <v>-45896</v>
      </c>
      <c r="K21" s="53">
        <v>1377792.7071225329</v>
      </c>
      <c r="L21" s="48"/>
      <c r="M21" s="48">
        <v>1377792.7071225329</v>
      </c>
      <c r="N21" s="48">
        <v>-82465.355401717126</v>
      </c>
      <c r="O21" s="49">
        <v>750142.52475072851</v>
      </c>
      <c r="P21" s="49">
        <v>14378.59391270054</v>
      </c>
      <c r="Q21" s="50">
        <v>2127935.2318732613</v>
      </c>
      <c r="R21" s="51">
        <v>-68086.76148901647</v>
      </c>
      <c r="S21" s="56">
        <v>-113982.76148901647</v>
      </c>
      <c r="T21" s="53">
        <v>1361054.1453568651</v>
      </c>
      <c r="U21" s="48"/>
      <c r="V21" s="48">
        <v>1361054.1453568651</v>
      </c>
      <c r="W21" s="48">
        <v>-16738.56176566775</v>
      </c>
      <c r="X21" s="49">
        <v>750073.11783582647</v>
      </c>
      <c r="Y21" s="49">
        <v>-69.406914902036078</v>
      </c>
      <c r="Z21" s="50">
        <v>2111127.2631926918</v>
      </c>
      <c r="AA21" s="51">
        <v>-16807.968680569436</v>
      </c>
      <c r="AB21" s="56">
        <v>-130790.73016958591</v>
      </c>
      <c r="AC21" s="53">
        <v>1342231.4904448278</v>
      </c>
      <c r="AD21" s="48"/>
      <c r="AE21" s="48">
        <v>1342231.4904448278</v>
      </c>
      <c r="AF21" s="48">
        <v>-18822.654912037309</v>
      </c>
      <c r="AG21" s="49">
        <v>749687.28935987013</v>
      </c>
      <c r="AH21" s="49">
        <v>-385.82847595633939</v>
      </c>
      <c r="AI21" s="50">
        <v>2091918.779804698</v>
      </c>
      <c r="AJ21" s="51">
        <v>-19208.483387993881</v>
      </c>
      <c r="AK21" s="56">
        <v>-149999.21355757979</v>
      </c>
      <c r="AL21" s="53">
        <v>1318982.4643166629</v>
      </c>
      <c r="AM21" s="48"/>
      <c r="AN21" s="48">
        <v>1318982.4643166629</v>
      </c>
      <c r="AO21" s="48">
        <v>-23249.026128164958</v>
      </c>
      <c r="AP21" s="49">
        <v>748416.40433302463</v>
      </c>
      <c r="AQ21" s="49">
        <v>-1270.8850268454989</v>
      </c>
      <c r="AR21" s="50">
        <v>2067398.8686496876</v>
      </c>
      <c r="AS21" s="51">
        <v>-24519.911155010341</v>
      </c>
      <c r="AT21" s="56">
        <v>-174519.12471259013</v>
      </c>
      <c r="AU21" s="53">
        <v>1298530.2016816381</v>
      </c>
      <c r="AV21" s="48"/>
      <c r="AW21" s="48">
        <v>1298530.2016816381</v>
      </c>
      <c r="AX21" s="48">
        <v>-20452.26263502473</v>
      </c>
      <c r="AY21" s="49">
        <v>747828.40037313907</v>
      </c>
      <c r="AZ21" s="49">
        <v>-588.00395988556556</v>
      </c>
      <c r="BA21" s="50">
        <v>2046358.6020547771</v>
      </c>
      <c r="BB21" s="51">
        <v>-21040.266594910529</v>
      </c>
      <c r="BC21" s="56">
        <v>-195559.39130750066</v>
      </c>
      <c r="BD21" s="54">
        <v>-149663.39130750066</v>
      </c>
      <c r="BE21" s="55">
        <v>-6.8152045726260949E-2</v>
      </c>
      <c r="BF21" s="54">
        <v>-81576.629818484187</v>
      </c>
      <c r="BG21" s="55">
        <v>-3.8336049235234829E-2</v>
      </c>
    </row>
    <row r="22" spans="1:59">
      <c r="A22" s="47" t="s">
        <v>21</v>
      </c>
      <c r="B22" s="48">
        <v>624054.54603936302</v>
      </c>
      <c r="C22" s="48">
        <v>68623</v>
      </c>
      <c r="D22" s="48">
        <v>692677.54603936302</v>
      </c>
      <c r="E22" s="48">
        <v>-65332.959448611</v>
      </c>
      <c r="F22" s="49">
        <v>182403.68274885899</v>
      </c>
      <c r="G22" s="49">
        <v>4320.0018364699799</v>
      </c>
      <c r="H22" s="50">
        <v>875081.22878822195</v>
      </c>
      <c r="I22" s="51">
        <v>-61012.957612140999</v>
      </c>
      <c r="J22" s="56">
        <v>-12583</v>
      </c>
      <c r="K22" s="53">
        <v>603422.79744663229</v>
      </c>
      <c r="L22" s="48">
        <v>30000</v>
      </c>
      <c r="M22" s="48">
        <v>633422.79744663229</v>
      </c>
      <c r="N22" s="48">
        <v>-59254.748592730728</v>
      </c>
      <c r="O22" s="49">
        <v>182509.68851904845</v>
      </c>
      <c r="P22" s="49">
        <v>106.00577018945478</v>
      </c>
      <c r="Q22" s="50">
        <v>815932.4859656808</v>
      </c>
      <c r="R22" s="51">
        <v>-59148.742822541157</v>
      </c>
      <c r="S22" s="56">
        <v>-71731.742822541157</v>
      </c>
      <c r="T22" s="53">
        <v>593995.22659873695</v>
      </c>
      <c r="U22" s="48">
        <v>30000</v>
      </c>
      <c r="V22" s="48">
        <v>623995.22659873695</v>
      </c>
      <c r="W22" s="48">
        <v>-9427.5708478953457</v>
      </c>
      <c r="X22" s="49">
        <v>182061.51902694756</v>
      </c>
      <c r="Y22" s="49">
        <v>-448.16949210088933</v>
      </c>
      <c r="Z22" s="50">
        <v>806056.7456256845</v>
      </c>
      <c r="AA22" s="51">
        <v>-9875.7403399962932</v>
      </c>
      <c r="AB22" s="56">
        <v>-81607.48316253745</v>
      </c>
      <c r="AC22" s="53">
        <v>585263.51022250531</v>
      </c>
      <c r="AD22" s="48">
        <v>30000</v>
      </c>
      <c r="AE22" s="48">
        <v>615263.51022250531</v>
      </c>
      <c r="AF22" s="48">
        <v>-8731.7163762316341</v>
      </c>
      <c r="AG22" s="49">
        <v>181788.80919273512</v>
      </c>
      <c r="AH22" s="49">
        <v>-272.70983421243727</v>
      </c>
      <c r="AI22" s="50">
        <v>797052.31941524043</v>
      </c>
      <c r="AJ22" s="51">
        <v>-9004.4262104440713</v>
      </c>
      <c r="AK22" s="56">
        <v>-90611.909372981521</v>
      </c>
      <c r="AL22" s="53">
        <v>576882.49713761371</v>
      </c>
      <c r="AM22" s="48">
        <v>30000</v>
      </c>
      <c r="AN22" s="48">
        <v>606882.49713761371</v>
      </c>
      <c r="AO22" s="48">
        <v>-8381.0130848916015</v>
      </c>
      <c r="AP22" s="49">
        <v>181593.58754552217</v>
      </c>
      <c r="AQ22" s="49">
        <v>-195.22164721295121</v>
      </c>
      <c r="AR22" s="50">
        <v>788476.08468313585</v>
      </c>
      <c r="AS22" s="51">
        <v>-8576.2347321045818</v>
      </c>
      <c r="AT22" s="56">
        <v>-99188.144105086103</v>
      </c>
      <c r="AU22" s="53">
        <v>568896.89577304968</v>
      </c>
      <c r="AV22" s="48">
        <v>30000</v>
      </c>
      <c r="AW22" s="48">
        <v>598896.89577304968</v>
      </c>
      <c r="AX22" s="48">
        <v>-7985.6013645640342</v>
      </c>
      <c r="AY22" s="49">
        <v>181535.16130501946</v>
      </c>
      <c r="AZ22" s="49">
        <v>-58.426240502711153</v>
      </c>
      <c r="BA22" s="50">
        <v>780432.05707806908</v>
      </c>
      <c r="BB22" s="51">
        <v>-8044.0276050667744</v>
      </c>
      <c r="BC22" s="56">
        <v>-107232.17171015288</v>
      </c>
      <c r="BD22" s="54">
        <v>-94649.171710152877</v>
      </c>
      <c r="BE22" s="55">
        <v>-0.10816044110695795</v>
      </c>
      <c r="BF22" s="54">
        <v>-35500.428887611721</v>
      </c>
      <c r="BG22" s="55">
        <v>-4.3509027398995995E-2</v>
      </c>
    </row>
    <row r="23" spans="1:59">
      <c r="A23" s="47" t="s">
        <v>22</v>
      </c>
      <c r="B23" s="48">
        <v>756534.46442540397</v>
      </c>
      <c r="C23" s="48">
        <v>46823</v>
      </c>
      <c r="D23" s="48">
        <v>803357.46442540397</v>
      </c>
      <c r="E23" s="48">
        <v>-73120.239915262006</v>
      </c>
      <c r="F23" s="49">
        <v>245171.94985510301</v>
      </c>
      <c r="G23" s="49">
        <v>6705.2753285610197</v>
      </c>
      <c r="H23" s="50">
        <v>1048529.414280507</v>
      </c>
      <c r="I23" s="51">
        <v>-66414.964586700997</v>
      </c>
      <c r="J23" s="56">
        <v>-11029</v>
      </c>
      <c r="K23" s="53">
        <v>735682.63530818839</v>
      </c>
      <c r="L23" s="48"/>
      <c r="M23" s="48">
        <v>735682.63530818839</v>
      </c>
      <c r="N23" s="48">
        <v>-67674.829117215588</v>
      </c>
      <c r="O23" s="49">
        <v>246456.0928083582</v>
      </c>
      <c r="P23" s="49">
        <v>1284.1429532551847</v>
      </c>
      <c r="Q23" s="50">
        <v>982138.72811654652</v>
      </c>
      <c r="R23" s="51">
        <v>-66390.68616396049</v>
      </c>
      <c r="S23" s="56">
        <v>-77419.68616396049</v>
      </c>
      <c r="T23" s="53">
        <v>721095.29582359071</v>
      </c>
      <c r="U23" s="48"/>
      <c r="V23" s="48">
        <v>721095.29582359071</v>
      </c>
      <c r="W23" s="48">
        <v>-14587.339484597673</v>
      </c>
      <c r="X23" s="49">
        <v>245293.32234679547</v>
      </c>
      <c r="Y23" s="49">
        <v>-1162.7704615627299</v>
      </c>
      <c r="Z23" s="50">
        <v>966388.61817038618</v>
      </c>
      <c r="AA23" s="51">
        <v>-15750.109946160344</v>
      </c>
      <c r="AB23" s="56">
        <v>-93169.796110120835</v>
      </c>
      <c r="AC23" s="53">
        <v>708507.49709517218</v>
      </c>
      <c r="AD23" s="48"/>
      <c r="AE23" s="48">
        <v>708507.49709517218</v>
      </c>
      <c r="AF23" s="48">
        <v>-12587.798728418536</v>
      </c>
      <c r="AG23" s="49">
        <v>244561.21930870455</v>
      </c>
      <c r="AH23" s="49">
        <v>-732.10303809092147</v>
      </c>
      <c r="AI23" s="50">
        <v>953068.71640387666</v>
      </c>
      <c r="AJ23" s="51">
        <v>-13319.901766509516</v>
      </c>
      <c r="AK23" s="56">
        <v>-106489.69787663035</v>
      </c>
      <c r="AL23" s="53">
        <v>700597.49884179083</v>
      </c>
      <c r="AM23" s="48"/>
      <c r="AN23" s="48">
        <v>700597.49884179083</v>
      </c>
      <c r="AO23" s="48">
        <v>-7909.9982533813454</v>
      </c>
      <c r="AP23" s="49">
        <v>244781.79463030153</v>
      </c>
      <c r="AQ23" s="49">
        <v>220.57532159698894</v>
      </c>
      <c r="AR23" s="50">
        <v>945379.29347209237</v>
      </c>
      <c r="AS23" s="51">
        <v>-7689.4229317842983</v>
      </c>
      <c r="AT23" s="56">
        <v>-114179.12080841465</v>
      </c>
      <c r="AU23" s="53">
        <v>690088.42593693896</v>
      </c>
      <c r="AV23" s="48"/>
      <c r="AW23" s="48">
        <v>690088.42593693896</v>
      </c>
      <c r="AX23" s="48">
        <v>-10509.07290485187</v>
      </c>
      <c r="AY23" s="49">
        <v>244542.88164177228</v>
      </c>
      <c r="AZ23" s="49">
        <v>-238.91298852924956</v>
      </c>
      <c r="BA23" s="50">
        <v>934631.3075787113</v>
      </c>
      <c r="BB23" s="51">
        <v>-10747.985893381061</v>
      </c>
      <c r="BC23" s="56">
        <v>-124927.10670179571</v>
      </c>
      <c r="BD23" s="54">
        <v>-113898.10670179571</v>
      </c>
      <c r="BE23" s="55">
        <v>-0.10862652506506146</v>
      </c>
      <c r="BF23" s="54">
        <v>-47507.42053783522</v>
      </c>
      <c r="BG23" s="55">
        <v>-4.8371395178500386E-2</v>
      </c>
    </row>
    <row r="24" spans="1:59" hidden="1">
      <c r="A24" s="47" t="s">
        <v>27</v>
      </c>
      <c r="B24" s="48">
        <v>645000</v>
      </c>
      <c r="C24" s="48"/>
      <c r="D24" s="48">
        <v>645000</v>
      </c>
      <c r="E24" s="48">
        <v>0</v>
      </c>
      <c r="F24" s="49"/>
      <c r="G24" s="49">
        <v>0</v>
      </c>
      <c r="H24" s="50">
        <v>645000</v>
      </c>
      <c r="I24" s="51">
        <v>0</v>
      </c>
      <c r="J24" s="52"/>
      <c r="K24" s="33"/>
      <c r="L24" s="48"/>
      <c r="M24" s="29"/>
      <c r="N24" s="29"/>
      <c r="O24" s="30"/>
      <c r="P24" s="30"/>
      <c r="Q24" s="50">
        <v>0</v>
      </c>
      <c r="R24" s="51">
        <v>-645000</v>
      </c>
      <c r="S24" s="52"/>
      <c r="T24" s="33"/>
      <c r="U24" s="48"/>
      <c r="V24" s="29"/>
      <c r="W24" s="29"/>
      <c r="X24" s="30"/>
      <c r="Y24" s="30"/>
      <c r="Z24" s="31"/>
      <c r="AA24" s="51">
        <v>0</v>
      </c>
      <c r="AB24" s="52"/>
      <c r="AC24" s="33"/>
      <c r="AD24" s="48"/>
      <c r="AE24" s="29"/>
      <c r="AF24" s="29"/>
      <c r="AG24" s="30"/>
      <c r="AH24" s="30"/>
      <c r="AI24" s="50">
        <v>0</v>
      </c>
      <c r="AJ24" s="32"/>
      <c r="AL24" s="33"/>
      <c r="AM24" s="48"/>
      <c r="AN24" s="48">
        <v>0</v>
      </c>
      <c r="AO24" s="29"/>
      <c r="AP24" s="30"/>
      <c r="AQ24" s="30"/>
      <c r="AR24" s="31"/>
      <c r="AS24" s="51">
        <v>0</v>
      </c>
      <c r="AT24" s="52"/>
      <c r="AU24" s="33"/>
      <c r="AV24" s="29"/>
      <c r="AW24" s="29"/>
      <c r="AX24" s="48">
        <v>0</v>
      </c>
      <c r="AY24" s="30"/>
      <c r="AZ24" s="30"/>
      <c r="BA24" s="50">
        <v>0</v>
      </c>
      <c r="BB24" s="32"/>
      <c r="BC24" s="52">
        <v>0</v>
      </c>
      <c r="BD24" s="34"/>
      <c r="BE24" s="55" t="e">
        <v>#DIV/0!</v>
      </c>
      <c r="BF24" s="34"/>
      <c r="BG24" s="55" t="e">
        <v>#DIV/0!</v>
      </c>
    </row>
    <row r="25" spans="1:59">
      <c r="A25" s="60" t="s">
        <v>52</v>
      </c>
      <c r="B25" s="61">
        <v>32314976.5004672</v>
      </c>
      <c r="C25" s="61">
        <v>2082500</v>
      </c>
      <c r="D25" s="61">
        <v>34397476.500467204</v>
      </c>
      <c r="E25" s="61">
        <v>-2799949.3923835601</v>
      </c>
      <c r="F25" s="62">
        <v>12349332.534351001</v>
      </c>
      <c r="G25" s="62">
        <v>380681.41435098898</v>
      </c>
      <c r="H25" s="63">
        <v>46746809.034818217</v>
      </c>
      <c r="I25" s="64">
        <v>-2419267.9780325801</v>
      </c>
      <c r="J25" s="65">
        <v>7039327</v>
      </c>
      <c r="K25" s="66">
        <v>31830199.43406257</v>
      </c>
      <c r="L25" s="61">
        <f>SUM(L4:L23)</f>
        <v>67500</v>
      </c>
      <c r="M25" s="61">
        <f>SUM(M4:M23)</f>
        <v>31897699.43406257</v>
      </c>
      <c r="N25" s="61">
        <f>SUM(N4:N23)</f>
        <v>-2499777.0664046519</v>
      </c>
      <c r="O25" s="62">
        <f t="shared" ref="O25" si="0">SUM(O4:O23)</f>
        <v>12510608.609999998</v>
      </c>
      <c r="P25" s="62">
        <f>SUM(P4:P23)</f>
        <v>161276.07564900242</v>
      </c>
      <c r="Q25" s="63">
        <f t="shared" ref="Q25:V25" si="1">SUM(Q4:Q23)</f>
        <v>44408308.044062585</v>
      </c>
      <c r="R25" s="64">
        <f t="shared" si="1"/>
        <v>-2338500.9907556507</v>
      </c>
      <c r="S25" s="65">
        <f t="shared" si="1"/>
        <v>4700826.0092443507</v>
      </c>
      <c r="T25" s="66">
        <f t="shared" si="1"/>
        <v>31352746.442551624</v>
      </c>
      <c r="U25" s="61">
        <f t="shared" si="1"/>
        <v>67500</v>
      </c>
      <c r="V25" s="61">
        <f t="shared" si="1"/>
        <v>31420246.442551624</v>
      </c>
      <c r="W25" s="61">
        <f t="shared" ref="W25:Z25" si="2">SUM(W4:W23)</f>
        <v>-477452.99151094491</v>
      </c>
      <c r="X25" s="62">
        <f t="shared" si="2"/>
        <v>12510608.609999999</v>
      </c>
      <c r="Y25" s="62">
        <f>SUM(Y4:Y23)</f>
        <v>-7.2759576141834259E-10</v>
      </c>
      <c r="Z25" s="63">
        <f t="shared" si="2"/>
        <v>43930855.05255162</v>
      </c>
      <c r="AA25" s="63">
        <f>SUM(AA4:AA23)</f>
        <v>-477452.99151094549</v>
      </c>
      <c r="AB25" s="67">
        <f>SUM(AB4:AB23)</f>
        <v>4223373.0177334044</v>
      </c>
      <c r="AC25" s="66">
        <v>30882455.245913368</v>
      </c>
      <c r="AD25" s="61">
        <v>82500</v>
      </c>
      <c r="AE25" s="61">
        <v>30964955.245913368</v>
      </c>
      <c r="AF25" s="61">
        <v>-470291.19663827308</v>
      </c>
      <c r="AG25" s="62">
        <v>12510608.609999998</v>
      </c>
      <c r="AH25" s="62">
        <v>-1.6007106751203537E-9</v>
      </c>
      <c r="AI25" s="63">
        <v>43475563.855913356</v>
      </c>
      <c r="AJ25" s="64">
        <v>-470291.19663827436</v>
      </c>
      <c r="AK25" s="65">
        <v>3768081.8210951351</v>
      </c>
      <c r="AL25" s="66">
        <v>30419218.417224668</v>
      </c>
      <c r="AM25" s="61">
        <v>82500</v>
      </c>
      <c r="AN25" s="61">
        <v>30501718.417224668</v>
      </c>
      <c r="AO25" s="61">
        <v>-463236.82868869998</v>
      </c>
      <c r="AP25" s="62">
        <v>12510608.610000001</v>
      </c>
      <c r="AQ25" s="62">
        <v>7.2759576141834259E-10</v>
      </c>
      <c r="AR25" s="63">
        <v>43012327.027224652</v>
      </c>
      <c r="AS25" s="64">
        <v>-463236.82868869998</v>
      </c>
      <c r="AT25" s="65">
        <v>3304844.9924064344</v>
      </c>
      <c r="AU25" s="66">
        <v>29962930.140966285</v>
      </c>
      <c r="AV25" s="61">
        <v>82500</v>
      </c>
      <c r="AW25" s="61">
        <v>30045430.140966285</v>
      </c>
      <c r="AX25" s="61">
        <v>-456288.27625836933</v>
      </c>
      <c r="AY25" s="62">
        <v>12510608.609999999</v>
      </c>
      <c r="AZ25" s="62">
        <v>1.7753336578607559E-9</v>
      </c>
      <c r="BA25" s="63">
        <v>42556038.750966296</v>
      </c>
      <c r="BB25" s="64">
        <v>-456288.27625836816</v>
      </c>
      <c r="BC25" s="65">
        <v>2848556.7161480663</v>
      </c>
      <c r="BD25" s="68">
        <v>-4190770.2838519337</v>
      </c>
      <c r="BE25" s="69">
        <v>-8.9648264135644876E-2</v>
      </c>
      <c r="BF25" s="68">
        <v>-1867269.2930962832</v>
      </c>
      <c r="BG25" s="69">
        <v>-4.2033548947867108E-2</v>
      </c>
    </row>
    <row r="26" spans="1:59" ht="12.75" thickBot="1">
      <c r="A26" s="129" t="str">
        <f>+BA26</f>
        <v>Ilman sop. mr v. 2020</v>
      </c>
      <c r="B26" s="71"/>
      <c r="C26" s="71"/>
      <c r="D26" s="71"/>
      <c r="E26" s="72"/>
      <c r="F26" s="73"/>
      <c r="G26" s="73"/>
      <c r="H26" s="74"/>
      <c r="I26" s="75"/>
      <c r="J26" s="76"/>
      <c r="K26" s="77"/>
      <c r="L26" s="71"/>
      <c r="M26" s="71"/>
      <c r="N26" s="71"/>
      <c r="O26" s="78"/>
      <c r="P26" s="78"/>
      <c r="Q26" s="74"/>
      <c r="R26" s="75"/>
      <c r="S26" s="76"/>
      <c r="T26" s="77"/>
      <c r="U26" s="71"/>
      <c r="V26" s="71"/>
      <c r="W26" s="71"/>
      <c r="X26" s="73"/>
      <c r="Y26" s="78"/>
      <c r="Z26" s="74"/>
      <c r="AA26" s="75"/>
      <c r="AB26" s="76"/>
      <c r="AC26" s="77"/>
      <c r="AD26" s="71"/>
      <c r="AE26" s="71"/>
      <c r="AF26" s="71"/>
      <c r="AG26" s="73"/>
      <c r="AH26" s="78"/>
      <c r="AI26" s="74"/>
      <c r="AJ26" s="75"/>
      <c r="AK26" s="76"/>
      <c r="AL26" s="77"/>
      <c r="AM26" s="71"/>
      <c r="AN26" s="71"/>
      <c r="AO26" s="71"/>
      <c r="AP26" s="73"/>
      <c r="AQ26" s="78"/>
      <c r="AR26" s="74"/>
      <c r="AS26" s="75"/>
      <c r="AT26" s="76"/>
      <c r="AU26" s="77"/>
      <c r="AV26" s="71"/>
      <c r="AW26" s="71"/>
      <c r="AX26" s="71"/>
      <c r="AY26" s="73"/>
      <c r="AZ26" s="78"/>
      <c r="BA26" s="74" t="s">
        <v>78</v>
      </c>
      <c r="BB26" s="75"/>
      <c r="BC26" s="76"/>
      <c r="BD26" s="127">
        <f>+BA25-(B25+F25+82500)</f>
        <v>-2190770.2838519067</v>
      </c>
      <c r="BE26" s="128">
        <f>+BA25/(B25+F25)-1</f>
        <v>-4.7202572465822712E-2</v>
      </c>
      <c r="BF26" s="70"/>
      <c r="BG26" s="79"/>
    </row>
    <row r="27" spans="1:59">
      <c r="N27" s="52"/>
      <c r="T27" s="52"/>
      <c r="AC27" s="52"/>
      <c r="AL27" s="52"/>
      <c r="AU27" s="52"/>
    </row>
    <row r="28" spans="1:59">
      <c r="H28" s="52"/>
      <c r="K28" s="52"/>
      <c r="P28" s="80"/>
      <c r="T28" s="52"/>
      <c r="W28" s="80"/>
      <c r="X28" s="81"/>
      <c r="Y28" s="80"/>
      <c r="AA28" s="80"/>
      <c r="AC28" s="52"/>
      <c r="AF28" s="80"/>
      <c r="AG28" s="81"/>
      <c r="AH28" s="80"/>
      <c r="AJ28" s="80"/>
      <c r="AL28" s="52"/>
      <c r="AO28" s="80"/>
      <c r="AP28" s="81"/>
      <c r="AQ28" s="80"/>
      <c r="AS28" s="80"/>
      <c r="AU28" s="52"/>
      <c r="AX28" s="80"/>
      <c r="AY28" s="81"/>
      <c r="AZ28" s="80"/>
      <c r="BB28" s="80"/>
      <c r="BD28" s="52"/>
    </row>
    <row r="29" spans="1:59" ht="24">
      <c r="A29" s="82"/>
      <c r="B29" s="83" t="s">
        <v>54</v>
      </c>
      <c r="C29" s="83" t="s">
        <v>55</v>
      </c>
      <c r="D29" s="83" t="s">
        <v>56</v>
      </c>
      <c r="E29" s="83">
        <v>2022</v>
      </c>
      <c r="F29" s="83">
        <v>2023</v>
      </c>
      <c r="G29" s="83">
        <v>2024</v>
      </c>
      <c r="H29" s="83">
        <v>2025</v>
      </c>
      <c r="I29" s="84" t="s">
        <v>57</v>
      </c>
      <c r="J29" s="83" t="s">
        <v>49</v>
      </c>
      <c r="K29" s="85" t="s">
        <v>58</v>
      </c>
      <c r="L29" s="83" t="s">
        <v>49</v>
      </c>
      <c r="S29" s="52"/>
      <c r="T29" s="80"/>
      <c r="X29" s="86"/>
      <c r="AC29" s="87"/>
      <c r="AG29" s="86"/>
      <c r="AL29" s="87"/>
      <c r="AP29" s="80"/>
      <c r="AU29" s="80"/>
      <c r="AY29" s="80"/>
      <c r="BD29" s="80"/>
    </row>
    <row r="30" spans="1:59">
      <c r="A30" s="88">
        <v>0.98499999999999999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BB30" s="52"/>
    </row>
    <row r="31" spans="1:59">
      <c r="A31" s="91" t="s">
        <v>59</v>
      </c>
      <c r="B31" s="92">
        <v>-49301000</v>
      </c>
      <c r="C31" s="93">
        <f>-H25</f>
        <v>-46746809.034818217</v>
      </c>
      <c r="D31" s="93">
        <f>-Q25</f>
        <v>-44408308.044062585</v>
      </c>
      <c r="E31" s="93">
        <f>-Z25</f>
        <v>-43930855.05255162</v>
      </c>
      <c r="F31" s="93">
        <f>-AI25</f>
        <v>-43475563.855913356</v>
      </c>
      <c r="G31" s="93">
        <f>-AR25</f>
        <v>-43012327.027224652</v>
      </c>
      <c r="H31" s="93">
        <f>-BA25</f>
        <v>-42556038.750966296</v>
      </c>
      <c r="I31" s="92">
        <f>-(H31-C31)</f>
        <v>-4190770.2838519216</v>
      </c>
      <c r="J31" s="94">
        <f>+H31/C31-1</f>
        <v>-8.964826413564464E-2</v>
      </c>
      <c r="K31" s="92">
        <f>-(H31-D31)</f>
        <v>-1852269.293096289</v>
      </c>
      <c r="L31" s="94">
        <f>+H31/D31-1</f>
        <v>-4.1709972180395627E-2</v>
      </c>
      <c r="BB31" s="86"/>
    </row>
    <row r="32" spans="1:59">
      <c r="A32" s="91" t="s">
        <v>60</v>
      </c>
      <c r="B32" s="92">
        <v>-525000</v>
      </c>
      <c r="C32" s="93">
        <v>-645000</v>
      </c>
      <c r="D32" s="93">
        <f>+C32*A30</f>
        <v>-635325</v>
      </c>
      <c r="E32" s="93">
        <f>+D32*A30</f>
        <v>-625795.125</v>
      </c>
      <c r="F32" s="93">
        <f>+E32*A30</f>
        <v>-616408.198125</v>
      </c>
      <c r="G32" s="93">
        <f>+F32*A30</f>
        <v>-607162.07515312498</v>
      </c>
      <c r="H32" s="93">
        <f>+G32*A30</f>
        <v>-598054.64402582811</v>
      </c>
      <c r="I32" s="92">
        <f t="shared" ref="I32:I57" si="3">-(H32-C32)</f>
        <v>-46945.355974171893</v>
      </c>
      <c r="J32" s="94">
        <f t="shared" ref="J32:J57" si="4">+H32/C32-1</f>
        <v>-7.2783497634375083E-2</v>
      </c>
      <c r="K32" s="92">
        <f t="shared" ref="K32:K57" si="5">-(H32-D32)</f>
        <v>-37270.355974171893</v>
      </c>
      <c r="L32" s="94">
        <f t="shared" ref="L32:L57" si="6">+H32/D32-1</f>
        <v>-5.866344937500001E-2</v>
      </c>
    </row>
    <row r="33" spans="1:14">
      <c r="A33" s="95" t="s">
        <v>61</v>
      </c>
      <c r="B33" s="96">
        <f>SUM(B31:B32)</f>
        <v>-49826000</v>
      </c>
      <c r="C33" s="97">
        <f>SUM(C31:C32)</f>
        <v>-47391809.034818217</v>
      </c>
      <c r="D33" s="97">
        <f>SUM(D31:D32)</f>
        <v>-45043633.044062585</v>
      </c>
      <c r="E33" s="97">
        <f>SUM(E31:E32)</f>
        <v>-44556650.17755162</v>
      </c>
      <c r="F33" s="97">
        <f t="shared" ref="F33:H33" si="7">SUM(F31:F32)</f>
        <v>-44091972.054038353</v>
      </c>
      <c r="G33" s="97">
        <f t="shared" si="7"/>
        <v>-43619489.10237778</v>
      </c>
      <c r="H33" s="97">
        <f t="shared" si="7"/>
        <v>-43154093.394992121</v>
      </c>
      <c r="I33" s="96">
        <f t="shared" si="3"/>
        <v>-4237715.6398260966</v>
      </c>
      <c r="J33" s="126">
        <f>+H33/C33-1</f>
        <v>-8.9418735560668261E-2</v>
      </c>
      <c r="K33" s="96">
        <f>-(H33-D33)</f>
        <v>-1889539.6490704641</v>
      </c>
      <c r="L33" s="126">
        <f>+H33/D33-1</f>
        <v>-4.1949095163395844E-2</v>
      </c>
    </row>
    <row r="34" spans="1:14">
      <c r="A34" s="91"/>
      <c r="B34" s="92"/>
      <c r="C34" s="91"/>
      <c r="D34" s="91"/>
      <c r="E34" s="91"/>
      <c r="F34" s="91"/>
      <c r="G34" s="91"/>
      <c r="H34" s="91"/>
      <c r="I34" s="92"/>
      <c r="J34" s="94"/>
      <c r="K34" s="92"/>
      <c r="L34" s="94"/>
      <c r="M34" s="52"/>
      <c r="N34" s="130"/>
    </row>
    <row r="35" spans="1:14">
      <c r="A35" s="98" t="s">
        <v>62</v>
      </c>
      <c r="B35" s="96">
        <f>SUM(B36:B40)+1000</f>
        <v>-19204000</v>
      </c>
      <c r="C35" s="96">
        <f>SUM(C36:C40)</f>
        <v>-17974000</v>
      </c>
      <c r="D35" s="96">
        <f t="shared" ref="D35:H35" si="8">SUM(D36:D40)</f>
        <v>-17670900</v>
      </c>
      <c r="E35" s="96">
        <f t="shared" si="8"/>
        <v>-17405836.5</v>
      </c>
      <c r="F35" s="96">
        <f t="shared" si="8"/>
        <v>-17144748.952499997</v>
      </c>
      <c r="G35" s="96">
        <f t="shared" si="8"/>
        <v>-16887577.7182125</v>
      </c>
      <c r="H35" s="96">
        <f t="shared" si="8"/>
        <v>-16634264.052439313</v>
      </c>
      <c r="I35" s="96">
        <f t="shared" si="3"/>
        <v>-1339735.9475606866</v>
      </c>
      <c r="J35" s="126">
        <f t="shared" si="4"/>
        <v>-7.4537440055674087E-2</v>
      </c>
      <c r="K35" s="96">
        <f t="shared" si="5"/>
        <v>-1036635.9475606866</v>
      </c>
      <c r="L35" s="126">
        <f t="shared" si="6"/>
        <v>-5.8663449374999899E-2</v>
      </c>
    </row>
    <row r="36" spans="1:14">
      <c r="A36" s="99" t="s">
        <v>63</v>
      </c>
      <c r="B36" s="92">
        <v>-8032000</v>
      </c>
      <c r="C36" s="92">
        <v>-7800000</v>
      </c>
      <c r="D36" s="92">
        <f>+C36*$A$30</f>
        <v>-7683000</v>
      </c>
      <c r="E36" s="92">
        <f t="shared" ref="E36:H36" si="9">+D36*$A$30</f>
        <v>-7567755</v>
      </c>
      <c r="F36" s="92">
        <f t="shared" si="9"/>
        <v>-7454238.6749999998</v>
      </c>
      <c r="G36" s="92">
        <f t="shared" si="9"/>
        <v>-7342425.0948749995</v>
      </c>
      <c r="H36" s="92">
        <f t="shared" si="9"/>
        <v>-7232288.7184518743</v>
      </c>
      <c r="I36" s="92">
        <f t="shared" si="3"/>
        <v>-567711.28154812567</v>
      </c>
      <c r="J36" s="94">
        <f t="shared" si="4"/>
        <v>-7.2783497634375083E-2</v>
      </c>
      <c r="K36" s="92">
        <f t="shared" si="5"/>
        <v>-450711.28154812567</v>
      </c>
      <c r="L36" s="94">
        <f t="shared" si="6"/>
        <v>-5.8663449375000121E-2</v>
      </c>
    </row>
    <row r="37" spans="1:14">
      <c r="A37" s="92" t="s">
        <v>64</v>
      </c>
      <c r="B37" s="92">
        <v>-1363000</v>
      </c>
      <c r="C37" s="92">
        <v>-1430000</v>
      </c>
      <c r="D37" s="92">
        <f t="shared" ref="D37:H40" si="10">+C37*$A$30</f>
        <v>-1408550</v>
      </c>
      <c r="E37" s="92">
        <f t="shared" si="10"/>
        <v>-1387421.75</v>
      </c>
      <c r="F37" s="92">
        <f t="shared" si="10"/>
        <v>-1366610.4237500001</v>
      </c>
      <c r="G37" s="92">
        <f>+F37*$A$30</f>
        <v>-1346111.2673937501</v>
      </c>
      <c r="H37" s="92">
        <f t="shared" si="10"/>
        <v>-1325919.5983828439</v>
      </c>
      <c r="I37" s="92">
        <f t="shared" si="3"/>
        <v>-104080.40161715611</v>
      </c>
      <c r="J37" s="94">
        <f t="shared" si="4"/>
        <v>-7.2783497634374861E-2</v>
      </c>
      <c r="K37" s="92">
        <f t="shared" si="5"/>
        <v>-82630.401617156109</v>
      </c>
      <c r="L37" s="94">
        <f t="shared" si="6"/>
        <v>-5.8663449374999899E-2</v>
      </c>
    </row>
    <row r="38" spans="1:14">
      <c r="A38" s="92" t="s">
        <v>65</v>
      </c>
      <c r="B38" s="92">
        <v>-3038000</v>
      </c>
      <c r="C38" s="92">
        <v>-3120000</v>
      </c>
      <c r="D38" s="92">
        <f t="shared" si="10"/>
        <v>-3073200</v>
      </c>
      <c r="E38" s="92">
        <f t="shared" si="10"/>
        <v>-3027102</v>
      </c>
      <c r="F38" s="92">
        <f t="shared" si="10"/>
        <v>-2981695.4699999997</v>
      </c>
      <c r="G38" s="92">
        <f t="shared" si="10"/>
        <v>-2936970.0379499998</v>
      </c>
      <c r="H38" s="92">
        <f t="shared" si="10"/>
        <v>-2892915.4873807495</v>
      </c>
      <c r="I38" s="92">
        <f t="shared" si="3"/>
        <v>-227084.51261925045</v>
      </c>
      <c r="J38" s="94">
        <f t="shared" si="4"/>
        <v>-7.2783497634375194E-2</v>
      </c>
      <c r="K38" s="92">
        <f t="shared" si="5"/>
        <v>-180284.51261925045</v>
      </c>
      <c r="L38" s="94">
        <f t="shared" si="6"/>
        <v>-5.8663449375000121E-2</v>
      </c>
    </row>
    <row r="39" spans="1:14">
      <c r="A39" s="92" t="s">
        <v>66</v>
      </c>
      <c r="B39" s="92">
        <v>-6846000</v>
      </c>
      <c r="C39" s="92">
        <v>-5590000</v>
      </c>
      <c r="D39" s="92">
        <f t="shared" si="10"/>
        <v>-5506150</v>
      </c>
      <c r="E39" s="92">
        <f t="shared" si="10"/>
        <v>-5423557.75</v>
      </c>
      <c r="F39" s="92">
        <f t="shared" si="10"/>
        <v>-5342204.38375</v>
      </c>
      <c r="G39" s="92">
        <f t="shared" si="10"/>
        <v>-5262071.3179937499</v>
      </c>
      <c r="H39" s="92">
        <f t="shared" si="10"/>
        <v>-5183140.248223844</v>
      </c>
      <c r="I39" s="92">
        <f t="shared" si="3"/>
        <v>-406859.75177615602</v>
      </c>
      <c r="J39" s="94">
        <f t="shared" si="4"/>
        <v>-7.2783497634374972E-2</v>
      </c>
      <c r="K39" s="92">
        <f t="shared" si="5"/>
        <v>-323009.75177615602</v>
      </c>
      <c r="L39" s="94">
        <f t="shared" si="6"/>
        <v>-5.866344937500001E-2</v>
      </c>
    </row>
    <row r="40" spans="1:14">
      <c r="A40" s="100" t="s">
        <v>67</v>
      </c>
      <c r="B40" s="92">
        <v>74000</v>
      </c>
      <c r="C40" s="92">
        <v>-34000</v>
      </c>
      <c r="D40" s="92">
        <v>0</v>
      </c>
      <c r="E40" s="92">
        <f t="shared" si="10"/>
        <v>0</v>
      </c>
      <c r="F40" s="92">
        <f t="shared" si="10"/>
        <v>0</v>
      </c>
      <c r="G40" s="92">
        <f t="shared" si="10"/>
        <v>0</v>
      </c>
      <c r="H40" s="92">
        <f t="shared" si="10"/>
        <v>0</v>
      </c>
      <c r="I40" s="92">
        <f t="shared" si="3"/>
        <v>-34000</v>
      </c>
      <c r="J40" s="94"/>
      <c r="K40" s="92">
        <f t="shared" si="5"/>
        <v>0</v>
      </c>
      <c r="L40" s="94"/>
    </row>
    <row r="41" spans="1:14">
      <c r="A41" s="92"/>
      <c r="B41" s="92"/>
      <c r="C41" s="92"/>
      <c r="D41" s="92"/>
      <c r="E41" s="92"/>
      <c r="F41" s="92"/>
      <c r="G41" s="92"/>
      <c r="H41" s="92"/>
      <c r="I41" s="92"/>
      <c r="J41" s="94"/>
      <c r="K41" s="92"/>
      <c r="L41" s="94"/>
    </row>
    <row r="42" spans="1:14">
      <c r="A42" s="98" t="s">
        <v>68</v>
      </c>
      <c r="B42" s="96">
        <f>-8756000-B43</f>
        <v>-7953188</v>
      </c>
      <c r="C42" s="96">
        <f t="shared" ref="C42" si="11">-8800000-C43</f>
        <v>-8179800</v>
      </c>
      <c r="D42" s="96">
        <f>+C42*$A$30</f>
        <v>-8057103</v>
      </c>
      <c r="E42" s="96">
        <f t="shared" ref="E42:H43" si="12">+D42*$A$30</f>
        <v>-7936246.4550000001</v>
      </c>
      <c r="F42" s="96">
        <f t="shared" si="12"/>
        <v>-7817202.7581749996</v>
      </c>
      <c r="G42" s="96">
        <f t="shared" si="12"/>
        <v>-7699944.7168023745</v>
      </c>
      <c r="H42" s="96">
        <f t="shared" si="12"/>
        <v>-7584445.546050339</v>
      </c>
      <c r="I42" s="96">
        <f t="shared" si="3"/>
        <v>-595354.45394966099</v>
      </c>
      <c r="J42" s="126">
        <f t="shared" si="4"/>
        <v>-7.2783497634375083E-2</v>
      </c>
      <c r="K42" s="96">
        <f t="shared" si="5"/>
        <v>-472657.45394966099</v>
      </c>
      <c r="L42" s="126">
        <f t="shared" si="6"/>
        <v>-5.866344937500001E-2</v>
      </c>
    </row>
    <row r="43" spans="1:14">
      <c r="A43" s="101" t="s">
        <v>69</v>
      </c>
      <c r="B43" s="96">
        <v>-802812</v>
      </c>
      <c r="C43" s="96">
        <v>-620200</v>
      </c>
      <c r="D43" s="96">
        <f>+C43*$A$30</f>
        <v>-610897</v>
      </c>
      <c r="E43" s="96">
        <f t="shared" si="12"/>
        <v>-601733.54500000004</v>
      </c>
      <c r="F43" s="96">
        <f t="shared" si="12"/>
        <v>-592707.54182500008</v>
      </c>
      <c r="G43" s="96">
        <f t="shared" si="12"/>
        <v>-583816.92869762506</v>
      </c>
      <c r="H43" s="96">
        <f t="shared" si="12"/>
        <v>-575059.67476716067</v>
      </c>
      <c r="I43" s="96">
        <f t="shared" si="3"/>
        <v>-45140.325232839328</v>
      </c>
      <c r="J43" s="126">
        <f t="shared" si="4"/>
        <v>-7.2783497634374972E-2</v>
      </c>
      <c r="K43" s="96">
        <f t="shared" si="5"/>
        <v>-35837.325232839328</v>
      </c>
      <c r="L43" s="126">
        <f t="shared" si="6"/>
        <v>-5.8663449374999899E-2</v>
      </c>
    </row>
    <row r="44" spans="1:14">
      <c r="A44" s="92"/>
      <c r="B44" s="92"/>
      <c r="C44" s="92"/>
      <c r="D44" s="96"/>
      <c r="E44" s="96"/>
      <c r="F44" s="96"/>
      <c r="G44" s="96"/>
      <c r="H44" s="96"/>
      <c r="I44" s="92"/>
      <c r="J44" s="94"/>
      <c r="K44" s="92"/>
      <c r="L44" s="94"/>
    </row>
    <row r="45" spans="1:14">
      <c r="A45" s="98" t="s">
        <v>70</v>
      </c>
      <c r="B45" s="96">
        <v>-4717000</v>
      </c>
      <c r="C45" s="96">
        <v>-4900000</v>
      </c>
      <c r="D45" s="96">
        <f>+C45*$A$30</f>
        <v>-4826500</v>
      </c>
      <c r="E45" s="96">
        <f t="shared" ref="E45:H45" si="13">+D45*$A$30</f>
        <v>-4754102.5</v>
      </c>
      <c r="F45" s="96">
        <f t="shared" si="13"/>
        <v>-4682790.9625000004</v>
      </c>
      <c r="G45" s="96">
        <f t="shared" si="13"/>
        <v>-4612549.0980625004</v>
      </c>
      <c r="H45" s="96">
        <f t="shared" si="13"/>
        <v>-4543360.8615915626</v>
      </c>
      <c r="I45" s="96">
        <f t="shared" si="3"/>
        <v>-356639.13840843737</v>
      </c>
      <c r="J45" s="126">
        <f t="shared" si="4"/>
        <v>-7.2783497634374972E-2</v>
      </c>
      <c r="K45" s="96">
        <f t="shared" si="5"/>
        <v>-283139.13840843737</v>
      </c>
      <c r="L45" s="126">
        <f t="shared" si="6"/>
        <v>-5.866344937500001E-2</v>
      </c>
    </row>
    <row r="46" spans="1:14">
      <c r="A46" s="92"/>
      <c r="B46" s="96"/>
      <c r="C46" s="92"/>
      <c r="D46" s="96"/>
      <c r="E46" s="96"/>
      <c r="F46" s="96"/>
      <c r="G46" s="96"/>
      <c r="H46" s="96"/>
      <c r="I46" s="92">
        <f t="shared" si="3"/>
        <v>0</v>
      </c>
      <c r="J46" s="94"/>
      <c r="K46" s="92"/>
      <c r="L46" s="94"/>
    </row>
    <row r="47" spans="1:14">
      <c r="A47" s="98" t="s">
        <v>71</v>
      </c>
      <c r="B47" s="96">
        <v>-1113000</v>
      </c>
      <c r="C47" s="96">
        <v>-4825000</v>
      </c>
      <c r="D47" s="96">
        <f>+C47*$A$30</f>
        <v>-4752625</v>
      </c>
      <c r="E47" s="96">
        <f t="shared" ref="E47:H47" si="14">+D47*$A$30</f>
        <v>-4681335.625</v>
      </c>
      <c r="F47" s="96">
        <f t="shared" si="14"/>
        <v>-4611115.5906250002</v>
      </c>
      <c r="G47" s="96">
        <f t="shared" si="14"/>
        <v>-4541948.8567656251</v>
      </c>
      <c r="H47" s="96">
        <f t="shared" si="14"/>
        <v>-4473819.6239141403</v>
      </c>
      <c r="I47" s="96">
        <f t="shared" si="3"/>
        <v>-351180.37608585972</v>
      </c>
      <c r="J47" s="126">
        <f t="shared" si="4"/>
        <v>-7.2783497634375083E-2</v>
      </c>
      <c r="K47" s="96">
        <f t="shared" si="5"/>
        <v>-278805.37608585972</v>
      </c>
      <c r="L47" s="126">
        <f t="shared" si="6"/>
        <v>-5.8663449375000121E-2</v>
      </c>
    </row>
    <row r="48" spans="1:14">
      <c r="A48" s="98"/>
      <c r="B48" s="92"/>
      <c r="C48" s="92"/>
      <c r="D48" s="92"/>
      <c r="E48" s="92"/>
      <c r="F48" s="92"/>
      <c r="G48" s="92"/>
      <c r="H48" s="92"/>
      <c r="I48" s="92"/>
      <c r="J48" s="94"/>
      <c r="K48" s="92"/>
      <c r="L48" s="94"/>
    </row>
    <row r="49" spans="1:12">
      <c r="A49" s="98" t="s">
        <v>72</v>
      </c>
      <c r="B49" s="92"/>
      <c r="C49" s="96">
        <v>-1000000</v>
      </c>
      <c r="D49" s="92"/>
      <c r="E49" s="92"/>
      <c r="F49" s="92"/>
      <c r="G49" s="92"/>
      <c r="H49" s="92"/>
      <c r="I49" s="96">
        <f t="shared" si="3"/>
        <v>-1000000</v>
      </c>
      <c r="J49" s="126">
        <f t="shared" si="4"/>
        <v>-1</v>
      </c>
      <c r="K49" s="96">
        <f t="shared" si="5"/>
        <v>0</v>
      </c>
      <c r="L49" s="126"/>
    </row>
    <row r="50" spans="1:12">
      <c r="A50" s="102" t="s">
        <v>73</v>
      </c>
      <c r="B50" s="92"/>
      <c r="C50" s="96">
        <v>-660000</v>
      </c>
      <c r="D50" s="103">
        <f>+C50*$A$30</f>
        <v>-650100</v>
      </c>
      <c r="E50" s="103">
        <f t="shared" ref="E50:H50" si="15">+D50*$A$30</f>
        <v>-640348.5</v>
      </c>
      <c r="F50" s="103">
        <f t="shared" si="15"/>
        <v>-630743.27249999996</v>
      </c>
      <c r="G50" s="103">
        <f t="shared" si="15"/>
        <v>-621282.1234124999</v>
      </c>
      <c r="H50" s="103">
        <f t="shared" si="15"/>
        <v>-611962.89156131237</v>
      </c>
      <c r="I50" s="96">
        <f t="shared" si="3"/>
        <v>-48037.108438687632</v>
      </c>
      <c r="J50" s="126">
        <f t="shared" si="4"/>
        <v>-7.2783497634375194E-2</v>
      </c>
      <c r="K50" s="96">
        <f t="shared" si="5"/>
        <v>-38137.108438687632</v>
      </c>
      <c r="L50" s="126">
        <f t="shared" si="6"/>
        <v>-5.8663449375000232E-2</v>
      </c>
    </row>
    <row r="51" spans="1:12">
      <c r="A51" s="104"/>
      <c r="B51" s="105"/>
      <c r="C51" s="91"/>
      <c r="D51" s="104"/>
      <c r="E51" s="104"/>
      <c r="F51" s="104"/>
      <c r="G51" s="104"/>
      <c r="H51" s="104"/>
      <c r="I51" s="105"/>
      <c r="J51" s="106"/>
      <c r="K51" s="105"/>
      <c r="L51" s="106"/>
    </row>
    <row r="52" spans="1:12">
      <c r="A52" s="107" t="s">
        <v>74</v>
      </c>
      <c r="B52" s="108">
        <f>+B33+B35+B42+B45+B47+B49+B50+B43+1000</f>
        <v>-83615000</v>
      </c>
      <c r="C52" s="108">
        <f>+C33+C35+C42+C45+C47+C49+C50+C43</f>
        <v>-85550809.034818217</v>
      </c>
      <c r="D52" s="108">
        <f>+D33+D35+D42+D45+D47+D49+D50+D43</f>
        <v>-81611758.044062585</v>
      </c>
      <c r="E52" s="108">
        <f t="shared" ref="E52:H52" si="16">+E33+E35+E42+E45+E47+E49+E50+E43</f>
        <v>-80576253.302551627</v>
      </c>
      <c r="F52" s="108">
        <f>+F33+F35+F42+F45+F47+F49+F50+F43</f>
        <v>-79571281.132163346</v>
      </c>
      <c r="G52" s="108">
        <f t="shared" si="16"/>
        <v>-78566608.544330925</v>
      </c>
      <c r="H52" s="108">
        <f t="shared" si="16"/>
        <v>-77577006.045315951</v>
      </c>
      <c r="I52" s="109">
        <f t="shared" si="3"/>
        <v>-7973802.989502266</v>
      </c>
      <c r="J52" s="110">
        <f t="shared" si="4"/>
        <v>-9.3205465611167049E-2</v>
      </c>
      <c r="K52" s="109">
        <f t="shared" si="5"/>
        <v>-4034751.9987466335</v>
      </c>
      <c r="L52" s="110">
        <f t="shared" si="6"/>
        <v>-4.9438366424703784E-2</v>
      </c>
    </row>
    <row r="53" spans="1:12">
      <c r="A53" s="111"/>
      <c r="B53" s="112"/>
      <c r="C53" s="113"/>
      <c r="D53" s="113"/>
      <c r="E53" s="113"/>
      <c r="F53" s="113"/>
      <c r="G53" s="113"/>
      <c r="I53" s="52"/>
      <c r="J53" s="86"/>
      <c r="K53" s="52"/>
      <c r="L53" s="86"/>
    </row>
    <row r="54" spans="1:12">
      <c r="A54" s="90" t="s">
        <v>75</v>
      </c>
      <c r="B54" s="114">
        <f>+B33</f>
        <v>-49826000</v>
      </c>
      <c r="C54" s="115">
        <f t="shared" ref="C54:H54" si="17">+C33</f>
        <v>-47391809.034818217</v>
      </c>
      <c r="D54" s="89">
        <f t="shared" si="17"/>
        <v>-45043633.044062585</v>
      </c>
      <c r="E54" s="89">
        <f t="shared" si="17"/>
        <v>-44556650.17755162</v>
      </c>
      <c r="F54" s="89">
        <f t="shared" si="17"/>
        <v>-44091972.054038353</v>
      </c>
      <c r="G54" s="89">
        <f t="shared" si="17"/>
        <v>-43619489.10237778</v>
      </c>
      <c r="H54" s="114">
        <f t="shared" si="17"/>
        <v>-43154093.394992121</v>
      </c>
      <c r="I54" s="89">
        <f t="shared" si="3"/>
        <v>-4237715.6398260966</v>
      </c>
      <c r="J54" s="116">
        <f t="shared" si="4"/>
        <v>-8.9418735560668261E-2</v>
      </c>
      <c r="K54" s="89">
        <f t="shared" si="5"/>
        <v>-1889539.6490704641</v>
      </c>
      <c r="L54" s="116">
        <f t="shared" si="6"/>
        <v>-4.1949095163395844E-2</v>
      </c>
    </row>
    <row r="55" spans="1:12">
      <c r="A55" s="117" t="s">
        <v>76</v>
      </c>
      <c r="B55" s="118">
        <f>+B35+B42+B43+B45+B47</f>
        <v>-33790000</v>
      </c>
      <c r="C55" s="52">
        <f>+C35+C42+C43+C45+C47+C49</f>
        <v>-37499000</v>
      </c>
      <c r="D55" s="92">
        <f t="shared" ref="D55:H55" si="18">+D35+D42+D43+D45+D47+D49</f>
        <v>-35918025</v>
      </c>
      <c r="E55" s="92">
        <f t="shared" si="18"/>
        <v>-35379254.625</v>
      </c>
      <c r="F55" s="92">
        <f t="shared" si="18"/>
        <v>-34848565.805624999</v>
      </c>
      <c r="G55" s="92">
        <f t="shared" si="18"/>
        <v>-34325837.318540625</v>
      </c>
      <c r="H55" s="118">
        <f t="shared" si="18"/>
        <v>-33810949.758762516</v>
      </c>
      <c r="I55" s="92">
        <f t="shared" si="3"/>
        <v>-3688050.2412374839</v>
      </c>
      <c r="J55" s="94">
        <f t="shared" si="4"/>
        <v>-9.8350629116442656E-2</v>
      </c>
      <c r="K55" s="92">
        <f t="shared" si="5"/>
        <v>-2107075.2412374839</v>
      </c>
      <c r="L55" s="94">
        <f t="shared" si="6"/>
        <v>-5.866344937500001E-2</v>
      </c>
    </row>
    <row r="56" spans="1:12">
      <c r="A56" s="119" t="s">
        <v>73</v>
      </c>
      <c r="B56" s="120">
        <v>0</v>
      </c>
      <c r="C56" s="121">
        <f>+C50</f>
        <v>-660000</v>
      </c>
      <c r="D56" s="105">
        <f t="shared" ref="D56:H56" si="19">+D50</f>
        <v>-650100</v>
      </c>
      <c r="E56" s="105">
        <f t="shared" si="19"/>
        <v>-640348.5</v>
      </c>
      <c r="F56" s="105">
        <f t="shared" si="19"/>
        <v>-630743.27249999996</v>
      </c>
      <c r="G56" s="105">
        <f t="shared" si="19"/>
        <v>-621282.1234124999</v>
      </c>
      <c r="H56" s="122">
        <f t="shared" si="19"/>
        <v>-611962.89156131237</v>
      </c>
      <c r="I56" s="105">
        <f t="shared" si="3"/>
        <v>-48037.108438687632</v>
      </c>
      <c r="J56" s="106">
        <f t="shared" si="4"/>
        <v>-7.2783497634375194E-2</v>
      </c>
      <c r="K56" s="105">
        <f t="shared" si="5"/>
        <v>-38137.108438687632</v>
      </c>
      <c r="L56" s="106">
        <f t="shared" si="6"/>
        <v>-5.8663449375000232E-2</v>
      </c>
    </row>
    <row r="57" spans="1:12">
      <c r="A57" s="125" t="s">
        <v>28</v>
      </c>
      <c r="B57" s="123">
        <f>+B54+B55+B56+1000</f>
        <v>-83615000</v>
      </c>
      <c r="C57" s="124">
        <f t="shared" ref="C57:H57" si="20">+C54+C55+C56</f>
        <v>-85550809.034818217</v>
      </c>
      <c r="D57" s="109">
        <f t="shared" si="20"/>
        <v>-81611758.044062585</v>
      </c>
      <c r="E57" s="109">
        <f t="shared" si="20"/>
        <v>-80576253.302551627</v>
      </c>
      <c r="F57" s="109">
        <f t="shared" si="20"/>
        <v>-79571281.132163346</v>
      </c>
      <c r="G57" s="109">
        <f t="shared" si="20"/>
        <v>-78566608.54433091</v>
      </c>
      <c r="H57" s="123">
        <f t="shared" si="20"/>
        <v>-77577006.045315951</v>
      </c>
      <c r="I57" s="109">
        <f t="shared" si="3"/>
        <v>-7973802.989502266</v>
      </c>
      <c r="J57" s="110">
        <f t="shared" si="4"/>
        <v>-9.3205465611167049E-2</v>
      </c>
      <c r="K57" s="109">
        <f t="shared" si="5"/>
        <v>-4034751.9987466335</v>
      </c>
      <c r="L57" s="110">
        <f t="shared" si="6"/>
        <v>-4.9438366424703784E-2</v>
      </c>
    </row>
  </sheetData>
  <pageMargins left="0.7" right="0.7" top="0.75" bottom="0.75" header="0.3" footer="0.3"/>
  <pageSetup paperSize="9" orientation="portrait" r:id="rId1"/>
  <ignoredErrors>
    <ignoredError sqref="E35:G51 H35:L51 I31:L32 I52:L57 E58:G58 E54:G57 B54:D57 H54:H57 E53:G53 E52 G52 B34:D47 M16:N16 V16:W16 Y16:AB16 AI16:AK16 AE16:AF16 AN16:AO16 AW16:AX16 BA16:BD16 BE16:BF16 BG16 Q16:S16 AR16:AT16 Y25:AB25 W25:X25 R25 O25:P25 L25:N25 Q25 S25:V25 I33:K33 B33:C33 D50 BE26 A26 L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10" sqref="B10"/>
    </sheetView>
  </sheetViews>
  <sheetFormatPr defaultColWidth="9.140625" defaultRowHeight="12.75" customHeight="1"/>
  <cols>
    <col min="1" max="1" width="13.140625" style="2" customWidth="1"/>
    <col min="2" max="2" width="29.140625" style="3" customWidth="1"/>
    <col min="3" max="6" width="9.140625" style="3" hidden="1" customWidth="1"/>
    <col min="7" max="7" width="15.85546875" style="8" customWidth="1"/>
    <col min="8" max="10" width="9.140625" style="3" customWidth="1"/>
    <col min="11" max="11" width="9.140625" style="1" customWidth="1"/>
    <col min="12" max="16384" width="9.140625" style="1"/>
  </cols>
  <sheetData>
    <row r="1" spans="1:10" s="4" customFormat="1" ht="12.75" customHeight="1">
      <c r="A1" s="131" t="s">
        <v>29</v>
      </c>
      <c r="B1" s="132"/>
      <c r="G1" s="9"/>
      <c r="H1" s="133" t="s">
        <v>30</v>
      </c>
      <c r="I1" s="132"/>
      <c r="J1" s="132"/>
    </row>
    <row r="2" spans="1:10" s="4" customFormat="1" ht="12.75" customHeight="1">
      <c r="A2" s="131" t="s">
        <v>31</v>
      </c>
      <c r="B2" s="132"/>
      <c r="G2" s="10"/>
      <c r="H2" s="12" t="s">
        <v>0</v>
      </c>
    </row>
    <row r="3" spans="1:10" s="5" customFormat="1" ht="12.75" customHeight="1">
      <c r="A3" s="7" t="str">
        <f>""</f>
        <v/>
      </c>
      <c r="B3" s="7" t="str">
        <f>""</f>
        <v/>
      </c>
      <c r="C3" s="7" t="str">
        <f>""</f>
        <v/>
      </c>
      <c r="D3" s="7" t="str">
        <f>""</f>
        <v/>
      </c>
      <c r="E3" s="7" t="str">
        <f>""</f>
        <v/>
      </c>
      <c r="F3" s="7" t="str">
        <f>""</f>
        <v/>
      </c>
      <c r="G3" s="13" t="s">
        <v>1</v>
      </c>
      <c r="H3" s="14" t="s">
        <v>2</v>
      </c>
      <c r="I3" s="14">
        <f>H2+1</f>
        <v>2022</v>
      </c>
      <c r="J3" s="14">
        <f>H2+2</f>
        <v>2023</v>
      </c>
    </row>
    <row r="4" spans="1:10" ht="12.75" customHeight="1">
      <c r="A4" s="6" t="str">
        <f>C4</f>
        <v>Kehys määräraha yhteensä</v>
      </c>
      <c r="B4" s="4"/>
      <c r="C4" s="4" t="str">
        <f>D5</f>
        <v>Kehys määräraha yhteensä</v>
      </c>
      <c r="D4" s="4" t="s">
        <v>25</v>
      </c>
      <c r="E4" s="4" t="s">
        <v>4</v>
      </c>
      <c r="F4" s="4" t="s">
        <v>4</v>
      </c>
      <c r="G4" s="11"/>
    </row>
    <row r="5" spans="1:10" ht="12.75" customHeight="1">
      <c r="A5" s="2" t="s">
        <v>26</v>
      </c>
      <c r="B5" s="3" t="s">
        <v>32</v>
      </c>
      <c r="C5" s="3" t="s">
        <v>24</v>
      </c>
      <c r="D5" s="3" t="s">
        <v>25</v>
      </c>
      <c r="E5" s="3" t="s">
        <v>4</v>
      </c>
      <c r="F5" s="3" t="s">
        <v>4</v>
      </c>
      <c r="G5" s="11">
        <v>31707000</v>
      </c>
      <c r="H5" s="15">
        <v>31707000</v>
      </c>
      <c r="I5" s="15">
        <v>31707000</v>
      </c>
      <c r="J5" s="15">
        <v>31707000</v>
      </c>
    </row>
    <row r="6" spans="1:10" ht="12.75" customHeight="1">
      <c r="A6" s="2" t="s">
        <v>23</v>
      </c>
      <c r="B6" s="3" t="s">
        <v>33</v>
      </c>
      <c r="C6" s="3" t="s">
        <v>24</v>
      </c>
      <c r="D6" s="3" t="s">
        <v>25</v>
      </c>
      <c r="E6" s="3" t="s">
        <v>4</v>
      </c>
      <c r="F6" s="3" t="s">
        <v>4</v>
      </c>
      <c r="G6" s="11">
        <v>6075470</v>
      </c>
      <c r="H6" s="15">
        <v>6148912</v>
      </c>
      <c r="I6" s="15">
        <v>6148912</v>
      </c>
      <c r="J6" s="15">
        <v>6148912</v>
      </c>
    </row>
    <row r="7" spans="1:10" ht="12.75" customHeight="1">
      <c r="G7" s="16"/>
      <c r="H7" s="17"/>
      <c r="I7" s="17"/>
      <c r="J7" s="17"/>
    </row>
    <row r="8" spans="1:10" ht="12.75" customHeight="1">
      <c r="G8" s="11"/>
      <c r="H8" s="17"/>
      <c r="I8" s="17"/>
      <c r="J8" s="17"/>
    </row>
    <row r="9" spans="1:10" ht="12.75" customHeight="1">
      <c r="G9" s="11"/>
    </row>
    <row r="10" spans="1:10" ht="12.75" customHeight="1">
      <c r="G10" s="11"/>
    </row>
  </sheetData>
  <sheetProtection sheet="1" objects="1" scenarios="1"/>
  <mergeCells count="3">
    <mergeCell ref="A1:B1"/>
    <mergeCell ref="H1:J1"/>
    <mergeCell ref="A2:B2"/>
  </mergeCells>
  <pageMargins left="0.6875" right="0.6875" top="0.75" bottom="0.75" header="0" footer="0"/>
  <pageSetup paperSize="9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Raportti</vt:lpstr>
      <vt:lpstr>MARA</vt:lpstr>
      <vt:lpstr>MARA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Lönnroth Tua</dc:creator>
  <cp:lastModifiedBy>Naatus Rebekka</cp:lastModifiedBy>
  <cp:lastPrinted>2021-09-03T08:12:18Z</cp:lastPrinted>
  <dcterms:created xsi:type="dcterms:W3CDTF">2020-04-06T13:40:06Z</dcterms:created>
  <dcterms:modified xsi:type="dcterms:W3CDTF">2021-09-03T08:12:28Z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368619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\\ES1D360PROD2\360users\work\resurssi\za044030</vt:lpwstr>
  </property>
  <property fmtid="{D5CDD505-2E9C-101B-9397-08002B2CF9AE}" pid="13" name="FileName">
    <vt:lpwstr>196_2021_14 Srk simuloitu kehys 2021-2025 tmr -15- tlmr 0- (1) 368619_283026_0.XLSX</vt:lpwstr>
  </property>
  <property fmtid="{D5CDD505-2E9C-101B-9397-08002B2CF9AE}" pid="14" name="FullFileName">
    <vt:lpwstr>\\ES1D360PROD2\360users\work\resurssi\za044030\196_2021_14 Srk simuloitu kehys 2021-2025 tmr -15- tlmr 0- (1) 368619_283026_0.XLSX</vt:lpwstr>
  </property>
</Properties>
</file>